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gjimenez\OneDrive - COOSALUD EPS-S\Desktop\ESCRITORIO COOSALUD\CRUCES CARTERA\HOSPITAL SAN RAFAEL DE FUSAGASUGA\"/>
    </mc:Choice>
  </mc:AlternateContent>
  <xr:revisionPtr revIDLastSave="323" documentId="8_{D978462E-1FA0-4099-AEAF-8E9E5D45A87E}" xr6:coauthVersionLast="44" xr6:coauthVersionMax="44" xr10:uidLastSave="{03A89157-234A-4F4D-8BCA-6E4DD2E32BE5}"/>
  <bookViews>
    <workbookView xWindow="-120" yWindow="-120" windowWidth="29040" windowHeight="15840" activeTab="1" xr2:uid="{00000000-000D-0000-FFFF-FFFF00000000}"/>
  </bookViews>
  <sheets>
    <sheet name="Hoja1" sheetId="1" r:id="rId1"/>
    <sheet name="CRUCE" sheetId="3" r:id="rId2"/>
    <sheet name="RESUMEN" sheetId="2" r:id="rId3"/>
    <sheet name="CXP" sheetId="4" r:id="rId4"/>
    <sheet name="GLOSAS" sheetId="5" r:id="rId5"/>
    <sheet name="CANCELADAS" sheetId="6" r:id="rId6"/>
    <sheet name="DEVOLUCIONES" sheetId="7" r:id="rId7"/>
  </sheets>
  <definedNames>
    <definedName name="_xlnm._FilterDatabase" localSheetId="5" hidden="1">CANCELADAS!$A$1:$V$506</definedName>
    <definedName name="_xlnm._FilterDatabase" localSheetId="1" hidden="1">CRUCE!$A$1:$T$141</definedName>
    <definedName name="_xlnm._FilterDatabase" localSheetId="3" hidden="1">CXP!$A$1:$U$4</definedName>
    <definedName name="_xlnm._FilterDatabase" localSheetId="6" hidden="1">DEVOLUCIONES!$C$1:$J$3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136" i="3" l="1"/>
  <c r="L113" i="3"/>
  <c r="L111" i="3"/>
  <c r="L50" i="3"/>
  <c r="L49" i="3"/>
  <c r="L46" i="3"/>
  <c r="L45" i="3"/>
  <c r="L44" i="3"/>
  <c r="L43" i="3"/>
  <c r="L33" i="3"/>
  <c r="L29" i="3"/>
  <c r="L25" i="3"/>
  <c r="L3" i="3"/>
  <c r="H3" i="3"/>
  <c r="H4" i="3"/>
  <c r="H5" i="3"/>
  <c r="H6" i="3"/>
  <c r="H7" i="3"/>
  <c r="H8" i="3"/>
  <c r="H9" i="3"/>
  <c r="H10" i="3"/>
  <c r="H11" i="3"/>
  <c r="H12" i="3"/>
  <c r="H13" i="3"/>
  <c r="H14" i="3"/>
  <c r="H15" i="3"/>
  <c r="H16" i="3"/>
  <c r="H17" i="3"/>
  <c r="H18" i="3"/>
  <c r="H19" i="3"/>
  <c r="H20" i="3"/>
  <c r="H21" i="3"/>
  <c r="H22" i="3"/>
  <c r="H23" i="3"/>
  <c r="H24" i="3"/>
  <c r="H25" i="3"/>
  <c r="H26" i="3"/>
  <c r="H27" i="3"/>
  <c r="H28" i="3"/>
  <c r="H29" i="3"/>
  <c r="H30" i="3"/>
  <c r="H31" i="3"/>
  <c r="H32" i="3"/>
  <c r="H33" i="3"/>
  <c r="H34" i="3"/>
  <c r="H35" i="3"/>
  <c r="H36" i="3"/>
  <c r="H37" i="3"/>
  <c r="H38" i="3"/>
  <c r="H39" i="3"/>
  <c r="H40" i="3"/>
  <c r="H41" i="3"/>
  <c r="H42" i="3"/>
  <c r="H43" i="3"/>
  <c r="H44" i="3"/>
  <c r="H45" i="3"/>
  <c r="H46" i="3"/>
  <c r="H47" i="3"/>
  <c r="H48" i="3"/>
  <c r="H49" i="3"/>
  <c r="H50" i="3"/>
  <c r="H51" i="3"/>
  <c r="H52" i="3"/>
  <c r="H53" i="3"/>
  <c r="H54" i="3"/>
  <c r="H55" i="3"/>
  <c r="H56" i="3"/>
  <c r="H57" i="3"/>
  <c r="H58" i="3"/>
  <c r="H59" i="3"/>
  <c r="H60" i="3"/>
  <c r="H61" i="3"/>
  <c r="H62" i="3"/>
  <c r="H63" i="3"/>
  <c r="H64" i="3"/>
  <c r="H65" i="3"/>
  <c r="H66" i="3"/>
  <c r="H67" i="3"/>
  <c r="H68" i="3"/>
  <c r="H69" i="3"/>
  <c r="H70" i="3"/>
  <c r="H71" i="3"/>
  <c r="H72" i="3"/>
  <c r="H73" i="3"/>
  <c r="H74" i="3"/>
  <c r="H75" i="3"/>
  <c r="H76" i="3"/>
  <c r="H77" i="3"/>
  <c r="H78" i="3"/>
  <c r="H79" i="3"/>
  <c r="H80" i="3"/>
  <c r="H81" i="3"/>
  <c r="H82" i="3"/>
  <c r="H83" i="3"/>
  <c r="H84" i="3"/>
  <c r="H85" i="3"/>
  <c r="H86" i="3"/>
  <c r="H87" i="3"/>
  <c r="H88" i="3"/>
  <c r="H89" i="3"/>
  <c r="H90" i="3"/>
  <c r="H91" i="3"/>
  <c r="H92" i="3"/>
  <c r="H93" i="3"/>
  <c r="H94" i="3"/>
  <c r="H95" i="3"/>
  <c r="H96" i="3"/>
  <c r="H97" i="3"/>
  <c r="H98" i="3"/>
  <c r="H99" i="3"/>
  <c r="H100" i="3"/>
  <c r="H101" i="3"/>
  <c r="H102" i="3"/>
  <c r="H103" i="3"/>
  <c r="H104" i="3"/>
  <c r="H105" i="3"/>
  <c r="H106" i="3"/>
  <c r="H107" i="3"/>
  <c r="H108" i="3"/>
  <c r="H109" i="3"/>
  <c r="H110" i="3"/>
  <c r="H111" i="3"/>
  <c r="H112" i="3"/>
  <c r="H113" i="3"/>
  <c r="H114" i="3"/>
  <c r="H115" i="3"/>
  <c r="H116" i="3"/>
  <c r="H117" i="3"/>
  <c r="H118" i="3"/>
  <c r="H119" i="3"/>
  <c r="H120" i="3"/>
  <c r="H121" i="3"/>
  <c r="H122" i="3"/>
  <c r="H123" i="3"/>
  <c r="H124" i="3"/>
  <c r="H125" i="3"/>
  <c r="H126" i="3"/>
  <c r="H127" i="3"/>
  <c r="H128" i="3"/>
  <c r="H129" i="3"/>
  <c r="H130" i="3"/>
  <c r="H131" i="3"/>
  <c r="H132" i="3"/>
  <c r="H133" i="3"/>
  <c r="H134" i="3"/>
  <c r="H135" i="3"/>
  <c r="H136" i="3"/>
  <c r="H137" i="3"/>
  <c r="H138" i="3"/>
  <c r="H139" i="3"/>
  <c r="H140" i="3"/>
  <c r="H2" i="3"/>
  <c r="T42" i="3" l="1"/>
  <c r="T41" i="3"/>
  <c r="T27" i="3"/>
  <c r="T17" i="3"/>
  <c r="T106" i="3"/>
  <c r="T139" i="3"/>
  <c r="T138" i="3"/>
  <c r="T135" i="3"/>
  <c r="T134" i="3"/>
  <c r="T133" i="3"/>
  <c r="T132" i="3"/>
  <c r="T131" i="3"/>
  <c r="T130" i="3"/>
  <c r="T129" i="3"/>
  <c r="T127" i="3"/>
  <c r="T126" i="3"/>
  <c r="T123" i="3"/>
  <c r="T121" i="3"/>
  <c r="T120" i="3"/>
  <c r="T119" i="3"/>
  <c r="T117" i="3"/>
  <c r="T116" i="3"/>
  <c r="T114" i="3"/>
  <c r="T112" i="3"/>
  <c r="T109" i="3"/>
  <c r="T108" i="3"/>
  <c r="T107" i="3"/>
  <c r="T105" i="3"/>
  <c r="T104" i="3"/>
  <c r="T103" i="3"/>
  <c r="T102" i="3"/>
  <c r="T101" i="3"/>
  <c r="T100" i="3"/>
  <c r="T99" i="3"/>
  <c r="T98" i="3"/>
  <c r="T97" i="3"/>
  <c r="T96" i="3"/>
  <c r="T95" i="3"/>
  <c r="T93" i="3"/>
  <c r="T92" i="3"/>
  <c r="T91" i="3"/>
  <c r="T90" i="3"/>
  <c r="T89" i="3"/>
  <c r="T88" i="3"/>
  <c r="T87" i="3"/>
  <c r="T86" i="3"/>
  <c r="T85" i="3"/>
  <c r="T84" i="3"/>
  <c r="T82" i="3"/>
  <c r="T81" i="3"/>
  <c r="T80" i="3"/>
  <c r="T79" i="3"/>
  <c r="T78" i="3"/>
  <c r="T76" i="3"/>
  <c r="T75" i="3"/>
  <c r="T74" i="3"/>
  <c r="T73" i="3"/>
  <c r="T72" i="3"/>
  <c r="T70" i="3"/>
  <c r="T69" i="3"/>
  <c r="T68" i="3"/>
  <c r="T67" i="3"/>
  <c r="T65" i="3"/>
  <c r="T64" i="3"/>
  <c r="T63" i="3"/>
  <c r="T62" i="3"/>
  <c r="T61" i="3"/>
  <c r="T60" i="3"/>
  <c r="T59" i="3"/>
  <c r="T58" i="3"/>
  <c r="T57" i="3"/>
  <c r="T56" i="3"/>
  <c r="T55" i="3"/>
  <c r="T54" i="3"/>
  <c r="T53" i="3"/>
  <c r="T52" i="3"/>
  <c r="T51" i="3"/>
  <c r="T47" i="3"/>
  <c r="T39" i="3"/>
  <c r="T37" i="3"/>
  <c r="T36" i="3"/>
  <c r="T35" i="3"/>
  <c r="T34" i="3"/>
  <c r="T31" i="3"/>
  <c r="T30" i="3"/>
  <c r="T28" i="3"/>
  <c r="T26" i="3"/>
  <c r="T23" i="3"/>
  <c r="T21" i="3"/>
  <c r="T20" i="3"/>
  <c r="T15" i="3"/>
  <c r="T14" i="3"/>
  <c r="T13" i="3"/>
  <c r="T12" i="3"/>
  <c r="T10" i="3"/>
  <c r="T9" i="3"/>
  <c r="T18" i="3"/>
  <c r="T22" i="3"/>
  <c r="T46" i="3"/>
  <c r="T50" i="3"/>
  <c r="T66" i="3"/>
  <c r="T94" i="3"/>
  <c r="T122" i="3"/>
  <c r="T2" i="3"/>
  <c r="T3" i="3"/>
  <c r="T4" i="3"/>
  <c r="T11" i="3"/>
  <c r="T19" i="3"/>
  <c r="T25" i="3"/>
  <c r="T29" i="3"/>
  <c r="T33" i="3"/>
  <c r="T38" i="3"/>
  <c r="T43" i="3"/>
  <c r="T44" i="3"/>
  <c r="T45" i="3"/>
  <c r="T48" i="3"/>
  <c r="T49" i="3"/>
  <c r="T71" i="3"/>
  <c r="T77" i="3"/>
  <c r="T83" i="3"/>
  <c r="T111" i="3"/>
  <c r="T113" i="3"/>
  <c r="T115" i="3"/>
  <c r="T124" i="3"/>
  <c r="T125" i="3"/>
  <c r="T136" i="3"/>
  <c r="T137" i="3"/>
  <c r="T16" i="3"/>
  <c r="T8" i="3"/>
  <c r="T7" i="3"/>
  <c r="T5" i="3"/>
  <c r="T140" i="3"/>
  <c r="G3" i="3"/>
  <c r="G4" i="3"/>
  <c r="G5" i="3"/>
  <c r="G6" i="3"/>
  <c r="G7" i="3"/>
  <c r="G8" i="3"/>
  <c r="G9" i="3"/>
  <c r="G10" i="3"/>
  <c r="G11" i="3"/>
  <c r="G12" i="3"/>
  <c r="G13" i="3"/>
  <c r="G14" i="3"/>
  <c r="G15" i="3"/>
  <c r="G16" i="3"/>
  <c r="G17" i="3"/>
  <c r="G18" i="3"/>
  <c r="G19" i="3"/>
  <c r="G20" i="3"/>
  <c r="G21" i="3"/>
  <c r="G22" i="3"/>
  <c r="G23" i="3"/>
  <c r="G24" i="3"/>
  <c r="G25" i="3"/>
  <c r="G26" i="3"/>
  <c r="G27" i="3"/>
  <c r="G28" i="3"/>
  <c r="G29" i="3"/>
  <c r="G30" i="3"/>
  <c r="G31" i="3"/>
  <c r="G32" i="3"/>
  <c r="G33" i="3"/>
  <c r="G34" i="3"/>
  <c r="G35" i="3"/>
  <c r="G36" i="3"/>
  <c r="G37" i="3"/>
  <c r="G38" i="3"/>
  <c r="G39" i="3"/>
  <c r="G40" i="3"/>
  <c r="G41" i="3"/>
  <c r="G42" i="3"/>
  <c r="G43" i="3"/>
  <c r="G44" i="3"/>
  <c r="G45" i="3"/>
  <c r="G46" i="3"/>
  <c r="G47" i="3"/>
  <c r="G48" i="3"/>
  <c r="G49" i="3"/>
  <c r="G50" i="3"/>
  <c r="G51" i="3"/>
  <c r="G52" i="3"/>
  <c r="G53" i="3"/>
  <c r="G54" i="3"/>
  <c r="G55" i="3"/>
  <c r="G56" i="3"/>
  <c r="G57" i="3"/>
  <c r="G58" i="3"/>
  <c r="G59" i="3"/>
  <c r="G60" i="3"/>
  <c r="G61" i="3"/>
  <c r="G62" i="3"/>
  <c r="G63" i="3"/>
  <c r="G64" i="3"/>
  <c r="G65" i="3"/>
  <c r="G66" i="3"/>
  <c r="G67" i="3"/>
  <c r="G68" i="3"/>
  <c r="G69" i="3"/>
  <c r="G70" i="3"/>
  <c r="G71" i="3"/>
  <c r="G72" i="3"/>
  <c r="G73" i="3"/>
  <c r="G74" i="3"/>
  <c r="G75" i="3"/>
  <c r="G76" i="3"/>
  <c r="G77" i="3"/>
  <c r="G78" i="3"/>
  <c r="G79" i="3"/>
  <c r="G80" i="3"/>
  <c r="G81" i="3"/>
  <c r="G82" i="3"/>
  <c r="G83" i="3"/>
  <c r="G84" i="3"/>
  <c r="G85" i="3"/>
  <c r="G86" i="3"/>
  <c r="G87" i="3"/>
  <c r="G88" i="3"/>
  <c r="G89" i="3"/>
  <c r="G90" i="3"/>
  <c r="G91" i="3"/>
  <c r="G92" i="3"/>
  <c r="G93" i="3"/>
  <c r="G94" i="3"/>
  <c r="G95" i="3"/>
  <c r="G96" i="3"/>
  <c r="G97" i="3"/>
  <c r="G98" i="3"/>
  <c r="G99" i="3"/>
  <c r="G100" i="3"/>
  <c r="G101" i="3"/>
  <c r="G102" i="3"/>
  <c r="G103" i="3"/>
  <c r="G104" i="3"/>
  <c r="G105" i="3"/>
  <c r="G106" i="3"/>
  <c r="G107" i="3"/>
  <c r="G108" i="3"/>
  <c r="G109" i="3"/>
  <c r="G110" i="3"/>
  <c r="G111" i="3"/>
  <c r="G112" i="3"/>
  <c r="G113" i="3"/>
  <c r="G114" i="3"/>
  <c r="G115" i="3"/>
  <c r="G116" i="3"/>
  <c r="G117" i="3"/>
  <c r="G118" i="3"/>
  <c r="G119" i="3"/>
  <c r="G120" i="3"/>
  <c r="G121" i="3"/>
  <c r="G122" i="3"/>
  <c r="G123" i="3"/>
  <c r="G124" i="3"/>
  <c r="G125" i="3"/>
  <c r="G126" i="3"/>
  <c r="G127" i="3"/>
  <c r="G128" i="3"/>
  <c r="G129" i="3"/>
  <c r="G130" i="3"/>
  <c r="G131" i="3"/>
  <c r="G132" i="3"/>
  <c r="G133" i="3"/>
  <c r="G134" i="3"/>
  <c r="G135" i="3"/>
  <c r="G136" i="3"/>
  <c r="G137" i="3"/>
  <c r="G138" i="3"/>
  <c r="G139" i="3"/>
  <c r="G140" i="3"/>
  <c r="G2" i="3"/>
  <c r="F3" i="3"/>
  <c r="F4" i="3"/>
  <c r="F5" i="3"/>
  <c r="F6" i="3"/>
  <c r="F7" i="3"/>
  <c r="F8" i="3"/>
  <c r="F9" i="3"/>
  <c r="F10" i="3"/>
  <c r="F11" i="3"/>
  <c r="F12" i="3"/>
  <c r="F13" i="3"/>
  <c r="F14" i="3"/>
  <c r="F15" i="3"/>
  <c r="F16" i="3"/>
  <c r="F17" i="3"/>
  <c r="F18"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59" i="3"/>
  <c r="F60" i="3"/>
  <c r="F61" i="3"/>
  <c r="F62" i="3"/>
  <c r="F63" i="3"/>
  <c r="F64" i="3"/>
  <c r="F65" i="3"/>
  <c r="F66" i="3"/>
  <c r="F67" i="3"/>
  <c r="F68" i="3"/>
  <c r="F69" i="3"/>
  <c r="F70" i="3"/>
  <c r="F71" i="3"/>
  <c r="F72" i="3"/>
  <c r="F73" i="3"/>
  <c r="F74" i="3"/>
  <c r="F75" i="3"/>
  <c r="F76" i="3"/>
  <c r="F77" i="3"/>
  <c r="F78" i="3"/>
  <c r="F79" i="3"/>
  <c r="F80" i="3"/>
  <c r="F81" i="3"/>
  <c r="F82" i="3"/>
  <c r="F83" i="3"/>
  <c r="F84" i="3"/>
  <c r="F85" i="3"/>
  <c r="F86" i="3"/>
  <c r="F87" i="3"/>
  <c r="F88" i="3"/>
  <c r="F89" i="3"/>
  <c r="F90" i="3"/>
  <c r="F91" i="3"/>
  <c r="F92" i="3"/>
  <c r="F93" i="3"/>
  <c r="F94" i="3"/>
  <c r="F95" i="3"/>
  <c r="F96" i="3"/>
  <c r="F97" i="3"/>
  <c r="F98" i="3"/>
  <c r="F99" i="3"/>
  <c r="F100" i="3"/>
  <c r="F101" i="3"/>
  <c r="F102" i="3"/>
  <c r="F103" i="3"/>
  <c r="F104" i="3"/>
  <c r="F105" i="3"/>
  <c r="F106" i="3"/>
  <c r="F107" i="3"/>
  <c r="F108" i="3"/>
  <c r="F109" i="3"/>
  <c r="F110" i="3"/>
  <c r="F111" i="3"/>
  <c r="F112" i="3"/>
  <c r="F113" i="3"/>
  <c r="F114" i="3"/>
  <c r="F115" i="3"/>
  <c r="F116" i="3"/>
  <c r="F117" i="3"/>
  <c r="F118" i="3"/>
  <c r="F119" i="3"/>
  <c r="F120" i="3"/>
  <c r="F121" i="3"/>
  <c r="F122" i="3"/>
  <c r="F123" i="3"/>
  <c r="F124" i="3"/>
  <c r="F125" i="3"/>
  <c r="F126" i="3"/>
  <c r="F127" i="3"/>
  <c r="F128" i="3"/>
  <c r="F129" i="3"/>
  <c r="F130" i="3"/>
  <c r="F131" i="3"/>
  <c r="F132" i="3"/>
  <c r="F133" i="3"/>
  <c r="F134" i="3"/>
  <c r="F135" i="3"/>
  <c r="F136" i="3"/>
  <c r="F137" i="3"/>
  <c r="F138" i="3"/>
  <c r="F139" i="3"/>
  <c r="F140" i="3"/>
  <c r="F2" i="3"/>
  <c r="E3" i="3"/>
  <c r="E4" i="3"/>
  <c r="E5" i="3"/>
  <c r="E6" i="3"/>
  <c r="E7" i="3"/>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103" i="3"/>
  <c r="E104" i="3"/>
  <c r="E105" i="3"/>
  <c r="E106" i="3"/>
  <c r="E107" i="3"/>
  <c r="E108" i="3"/>
  <c r="E109" i="3"/>
  <c r="E110" i="3"/>
  <c r="E111" i="3"/>
  <c r="E112" i="3"/>
  <c r="E113" i="3"/>
  <c r="E114" i="3"/>
  <c r="E115" i="3"/>
  <c r="E116" i="3"/>
  <c r="E117" i="3"/>
  <c r="E118" i="3"/>
  <c r="E119" i="3"/>
  <c r="E120" i="3"/>
  <c r="E121" i="3"/>
  <c r="E122" i="3"/>
  <c r="E123" i="3"/>
  <c r="E124" i="3"/>
  <c r="E125" i="3"/>
  <c r="E126" i="3"/>
  <c r="E127" i="3"/>
  <c r="E128" i="3"/>
  <c r="E129" i="3"/>
  <c r="E130" i="3"/>
  <c r="E131" i="3"/>
  <c r="E132" i="3"/>
  <c r="E133" i="3"/>
  <c r="E134" i="3"/>
  <c r="E135" i="3"/>
  <c r="E136" i="3"/>
  <c r="E137" i="3"/>
  <c r="E138" i="3"/>
  <c r="E139" i="3"/>
  <c r="E140" i="3"/>
  <c r="E2" i="3"/>
  <c r="T128" i="3" l="1"/>
  <c r="T32" i="3"/>
  <c r="T40" i="3"/>
  <c r="T24" i="3"/>
  <c r="T110" i="3"/>
  <c r="T118" i="3"/>
  <c r="T6" i="3"/>
  <c r="P141" i="3"/>
  <c r="D13" i="2" s="1"/>
  <c r="O141" i="3"/>
  <c r="D12" i="2" s="1"/>
  <c r="N141" i="3"/>
  <c r="D11" i="2" s="1"/>
  <c r="M141" i="3"/>
  <c r="D10" i="2" s="1"/>
  <c r="L141" i="3"/>
  <c r="D9" i="2" s="1"/>
  <c r="K141" i="3"/>
  <c r="D8" i="2" s="1"/>
  <c r="J141" i="3"/>
  <c r="D7" i="2" s="1"/>
  <c r="I141" i="3"/>
  <c r="D6" i="2" s="1"/>
  <c r="C141" i="3"/>
  <c r="D141" i="3"/>
  <c r="D4" i="2" s="1"/>
  <c r="T141" i="3" l="1"/>
  <c r="D15" i="2" s="1"/>
  <c r="D16" i="2" s="1"/>
  <c r="F144" i="1"/>
  <c r="C139" i="1"/>
  <c r="C116" i="1"/>
  <c r="C114" i="1"/>
  <c r="C124" i="1"/>
  <c r="C125" i="1"/>
  <c r="C135" i="1"/>
  <c r="C136" i="1"/>
  <c r="C123" i="1"/>
  <c r="C141" i="1"/>
  <c r="C138" i="1"/>
  <c r="C126" i="1"/>
  <c r="C104" i="1"/>
  <c r="C103" i="1"/>
  <c r="C137" i="1"/>
  <c r="C122" i="1"/>
  <c r="C121" i="1"/>
  <c r="C120" i="1"/>
  <c r="C133" i="1"/>
  <c r="C134" i="1"/>
  <c r="C132" i="1"/>
  <c r="C129" i="1"/>
  <c r="C130" i="1"/>
  <c r="C131" i="1"/>
  <c r="C128" i="1"/>
  <c r="C127" i="1"/>
  <c r="C143" i="1"/>
  <c r="C142" i="1"/>
  <c r="C140" i="1"/>
  <c r="C117" i="1"/>
  <c r="C92" i="1"/>
  <c r="C113" i="1"/>
  <c r="C112" i="1"/>
  <c r="C111" i="1"/>
  <c r="C110" i="1"/>
  <c r="C109" i="1"/>
  <c r="C108" i="1"/>
  <c r="C107" i="1"/>
  <c r="C106" i="1"/>
  <c r="C105" i="1"/>
  <c r="C97" i="1"/>
  <c r="C115" i="1"/>
  <c r="C118" i="1"/>
  <c r="C119" i="1"/>
  <c r="C102" i="1"/>
  <c r="C101" i="1"/>
  <c r="C98" i="1"/>
  <c r="C81" i="1"/>
  <c r="C96" i="1"/>
  <c r="C100" i="1"/>
  <c r="C99" i="1"/>
  <c r="C94" i="1"/>
  <c r="C95" i="1"/>
  <c r="C93" i="1"/>
  <c r="C39" i="1"/>
  <c r="C59" i="1"/>
  <c r="C60" i="1"/>
  <c r="C30" i="1"/>
  <c r="C37" i="1"/>
  <c r="C45" i="1"/>
  <c r="C44" i="1"/>
  <c r="C43" i="1"/>
  <c r="C42" i="1"/>
  <c r="C91" i="1"/>
  <c r="C90" i="1"/>
  <c r="C89" i="1"/>
  <c r="C88" i="1"/>
  <c r="C87" i="1"/>
  <c r="C86" i="1"/>
  <c r="C85" i="1"/>
  <c r="C84" i="1"/>
  <c r="C83" i="1"/>
  <c r="C82" i="1"/>
  <c r="C80" i="1"/>
  <c r="C51" i="1"/>
  <c r="C50" i="1"/>
  <c r="C58" i="1"/>
  <c r="C57" i="1"/>
  <c r="C56" i="1"/>
  <c r="C54" i="1"/>
  <c r="C55" i="1"/>
  <c r="C73" i="1"/>
  <c r="C74" i="1"/>
  <c r="C79" i="1"/>
  <c r="C78" i="1"/>
  <c r="C77" i="1"/>
  <c r="C76" i="1"/>
  <c r="C75" i="1"/>
  <c r="C72" i="1"/>
  <c r="C71" i="1"/>
  <c r="C70" i="1"/>
  <c r="C69" i="1"/>
  <c r="C68" i="1"/>
  <c r="C67" i="1"/>
  <c r="C66" i="1"/>
  <c r="C65" i="1"/>
  <c r="C64" i="1"/>
  <c r="C63" i="1"/>
  <c r="C62" i="1"/>
  <c r="C61" i="1"/>
  <c r="C53" i="1"/>
  <c r="C52" i="1"/>
  <c r="C48" i="1"/>
  <c r="C49" i="1"/>
  <c r="C47" i="1"/>
  <c r="C46" i="1"/>
  <c r="C21" i="1"/>
  <c r="C40" i="1"/>
  <c r="C41" i="1"/>
  <c r="C38" i="1"/>
  <c r="C32" i="1"/>
  <c r="C31" i="1"/>
  <c r="C36" i="1"/>
  <c r="C34" i="1"/>
  <c r="C35" i="1"/>
  <c r="C33" i="1"/>
  <c r="C29" i="1"/>
  <c r="C28" i="1"/>
  <c r="C27" i="1"/>
  <c r="C26" i="1"/>
  <c r="C25" i="1"/>
  <c r="C24" i="1"/>
  <c r="C23" i="1"/>
  <c r="C22" i="1"/>
  <c r="C20" i="1"/>
  <c r="C19" i="1"/>
  <c r="C18" i="1"/>
  <c r="C17" i="1"/>
  <c r="C16" i="1"/>
  <c r="C15" i="1"/>
  <c r="C14" i="1"/>
  <c r="C13" i="1"/>
  <c r="C12" i="1"/>
  <c r="C11" i="1"/>
  <c r="C10" i="1"/>
  <c r="C9" i="1"/>
  <c r="C8" i="1"/>
  <c r="C7" i="1"/>
  <c r="C6" i="1"/>
  <c r="C5" i="1"/>
</calcChain>
</file>

<file path=xl/sharedStrings.xml><?xml version="1.0" encoding="utf-8"?>
<sst xmlns="http://schemas.openxmlformats.org/spreadsheetml/2006/main" count="8153" uniqueCount="1866">
  <si>
    <t>FacturaNumero</t>
  </si>
  <si>
    <t>FacturaValor</t>
  </si>
  <si>
    <t>FacturaSaldo</t>
  </si>
  <si>
    <t>FacturaFec</t>
  </si>
  <si>
    <t>TOTAL</t>
  </si>
  <si>
    <t xml:space="preserve">RESUMEN VERIFICACION DE CARTERA </t>
  </si>
  <si>
    <t xml:space="preserve">CARTERA PRESENTADA </t>
  </si>
  <si>
    <t>CARTERA RECONOCIDA PARA PAGO</t>
  </si>
  <si>
    <t xml:space="preserve">FACTURAS DEVUELTAS A LA IPS </t>
  </si>
  <si>
    <t xml:space="preserve">FACTURAS EN PROCESO DE AUDITORIA </t>
  </si>
  <si>
    <t>FACTURAS A VERIFICAR RADICACION</t>
  </si>
  <si>
    <t>GLOSAS POR CONCILIAR</t>
  </si>
  <si>
    <t>GLOSAS ACEPTADAS POR LA IPS</t>
  </si>
  <si>
    <t xml:space="preserve">GLOSAS ACEPTADAS POR LA EPS </t>
  </si>
  <si>
    <t>FACTURAS CANCELADAS PENDIENTES POR DESCARGAR IPS</t>
  </si>
  <si>
    <t>PAGOS PENDIENTES POR DESCARGAR EPS Y NOTIFICAR A IPS</t>
  </si>
  <si>
    <t xml:space="preserve">DIFERENCIAS ENTRE LAS PARTES </t>
  </si>
  <si>
    <t>No FACTURA</t>
  </si>
  <si>
    <t>VALOR</t>
  </si>
  <si>
    <t>SALDO</t>
  </si>
  <si>
    <t>cxp</t>
  </si>
  <si>
    <t>GLOSAS</t>
  </si>
  <si>
    <t>CANCELADAS</t>
  </si>
  <si>
    <t>DEVOLUCIONES</t>
  </si>
  <si>
    <t>POR PAGAR</t>
  </si>
  <si>
    <t>DEVUELTA IPS</t>
  </si>
  <si>
    <t>FACTURAS EN PROCESO DE AUDITORIA</t>
  </si>
  <si>
    <t>NO RADICADA</t>
  </si>
  <si>
    <t>GLOSA POR CONCILIAR</t>
  </si>
  <si>
    <t xml:space="preserve">GLOSA ACEPTA IPS </t>
  </si>
  <si>
    <t>GLOSA ACEPTA EPS</t>
  </si>
  <si>
    <t>DOC No</t>
  </si>
  <si>
    <t>OBSERVACION</t>
  </si>
  <si>
    <t>SUCURSAL</t>
  </si>
  <si>
    <t>DIFERENCIA</t>
  </si>
  <si>
    <t>Consecutivo</t>
  </si>
  <si>
    <t>HSRF0013791092</t>
  </si>
  <si>
    <t>HSRF0013804350</t>
  </si>
  <si>
    <t>HSRF0013827137</t>
  </si>
  <si>
    <t>HSRF0013842922</t>
  </si>
  <si>
    <t>HSRF0013868871</t>
  </si>
  <si>
    <t>HSRF0013870182</t>
  </si>
  <si>
    <t>HSRF0013888877</t>
  </si>
  <si>
    <t>HSRF0013908407</t>
  </si>
  <si>
    <t>HSRF0013917101</t>
  </si>
  <si>
    <t>HSRF0013919396</t>
  </si>
  <si>
    <t>HSRF0013919432</t>
  </si>
  <si>
    <t>HSRF0013956581</t>
  </si>
  <si>
    <t>HSRF0013962507</t>
  </si>
  <si>
    <t>HSRF0013964124</t>
  </si>
  <si>
    <t>HSRF0013985748</t>
  </si>
  <si>
    <t>HSRF0013987467</t>
  </si>
  <si>
    <t>HSRF0013992344</t>
  </si>
  <si>
    <t>HSRF0013996573</t>
  </si>
  <si>
    <t>HSRF0014000927</t>
  </si>
  <si>
    <t>HSRF0014003145</t>
  </si>
  <si>
    <t>HSRF0014010076</t>
  </si>
  <si>
    <t>HSRF0014011373</t>
  </si>
  <si>
    <t>HSRF0014017815</t>
  </si>
  <si>
    <t>HSRF0014032583</t>
  </si>
  <si>
    <t>HSRF0014033382</t>
  </si>
  <si>
    <t>HSRF0014035526</t>
  </si>
  <si>
    <t>HSRF0014039063</t>
  </si>
  <si>
    <t>HSRF0014043994</t>
  </si>
  <si>
    <t>HSRF0014049496</t>
  </si>
  <si>
    <t>HSRF0014053032</t>
  </si>
  <si>
    <t>HSRF0014051741</t>
  </si>
  <si>
    <t>HSRF0014055418</t>
  </si>
  <si>
    <t>HSRF0014056365</t>
  </si>
  <si>
    <t>HSRF0014059388</t>
  </si>
  <si>
    <t>HSRF0014060446</t>
  </si>
  <si>
    <t>HSRF0014060526</t>
  </si>
  <si>
    <t>HSRF0014060511</t>
  </si>
  <si>
    <t>HSRF0014061332</t>
  </si>
  <si>
    <t>HSRF0014061732</t>
  </si>
  <si>
    <t>HSRF0014071101</t>
  </si>
  <si>
    <t>HSRF0014071197</t>
  </si>
  <si>
    <t>HSRF0014075544</t>
  </si>
  <si>
    <t>HSRF0014075877</t>
  </si>
  <si>
    <t>HSRF0014077197</t>
  </si>
  <si>
    <t>HSRF0014077138</t>
  </si>
  <si>
    <t>HSRF0014080983</t>
  </si>
  <si>
    <t>HSRF0014080988</t>
  </si>
  <si>
    <t>HSRF0014083350</t>
  </si>
  <si>
    <t>HSRF0014083571</t>
  </si>
  <si>
    <t>HSRF0014085950</t>
  </si>
  <si>
    <t>HSRF0014085241</t>
  </si>
  <si>
    <t>HSRF0014086331</t>
  </si>
  <si>
    <t>HSRF0014088104</t>
  </si>
  <si>
    <t>HSRF0014090046</t>
  </si>
  <si>
    <t>HSRF0014092450</t>
  </si>
  <si>
    <t>HSRF0014092291</t>
  </si>
  <si>
    <t>HSRF0014094605</t>
  </si>
  <si>
    <t>HSRF0014094935</t>
  </si>
  <si>
    <t>HSRF0014096062</t>
  </si>
  <si>
    <t>HSRF0014100131</t>
  </si>
  <si>
    <t>HSRF0014101119</t>
  </si>
  <si>
    <t>HSRF0014101507</t>
  </si>
  <si>
    <t>HSRF0014103682</t>
  </si>
  <si>
    <t>HSRF0014106065</t>
  </si>
  <si>
    <t>HSRF0014106070</t>
  </si>
  <si>
    <t>HSRF0014107382</t>
  </si>
  <si>
    <t>HSRF0014109270</t>
  </si>
  <si>
    <t>HSRF0014109476</t>
  </si>
  <si>
    <t>HSRF0014112240</t>
  </si>
  <si>
    <t>HSRF0014112238</t>
  </si>
  <si>
    <t>HSRF0014116024</t>
  </si>
  <si>
    <t>HSRF0014117332</t>
  </si>
  <si>
    <t>HSRF0014117670</t>
  </si>
  <si>
    <t>HSRF0014121486</t>
  </si>
  <si>
    <t>HSRF0014127066</t>
  </si>
  <si>
    <t>HSRF0014128080</t>
  </si>
  <si>
    <t>HSRF0014128051</t>
  </si>
  <si>
    <t>HSRF0014128886</t>
  </si>
  <si>
    <t>HSRF0014129197</t>
  </si>
  <si>
    <t>HSRF0014129868</t>
  </si>
  <si>
    <t>HSRF0014129879</t>
  </si>
  <si>
    <t>HSRF0014130160</t>
  </si>
  <si>
    <t>HSRF0014139579</t>
  </si>
  <si>
    <t>HSRF0014141346</t>
  </si>
  <si>
    <t>HSRF0014141827</t>
  </si>
  <si>
    <t>HSRF0014142132</t>
  </si>
  <si>
    <t>HSRF0014144255</t>
  </si>
  <si>
    <t>HSRF0014145952</t>
  </si>
  <si>
    <t>HSRF0014152100</t>
  </si>
  <si>
    <t>HSRF0014152839</t>
  </si>
  <si>
    <t>HSRF0014152608</t>
  </si>
  <si>
    <t>HSRF0014155696</t>
  </si>
  <si>
    <t>HSRF0014154915</t>
  </si>
  <si>
    <t>HSRF0014155779</t>
  </si>
  <si>
    <t>HSRF0014157405</t>
  </si>
  <si>
    <t>HSRF0014158162</t>
  </si>
  <si>
    <t>HSRF0014161328</t>
  </si>
  <si>
    <t>HSRF0014161585</t>
  </si>
  <si>
    <t>HSRF0014164134</t>
  </si>
  <si>
    <t>HSRF0014164139</t>
  </si>
  <si>
    <t>HSRF0014168509</t>
  </si>
  <si>
    <t>HSRF0014169688</t>
  </si>
  <si>
    <t>HSRF0014175038</t>
  </si>
  <si>
    <t>HSRF0014175042</t>
  </si>
  <si>
    <t>HSRF0014180002</t>
  </si>
  <si>
    <t>HSRF0014181115</t>
  </si>
  <si>
    <t>HSRF0014184434</t>
  </si>
  <si>
    <t>HSRF0014187917</t>
  </si>
  <si>
    <t>HSRF0014189199</t>
  </si>
  <si>
    <t>HSRF0014189208</t>
  </si>
  <si>
    <t>HSRF0014189521</t>
  </si>
  <si>
    <t>HSRF0014189497</t>
  </si>
  <si>
    <t>HSRF0014190421</t>
  </si>
  <si>
    <t>HSRF0014190806</t>
  </si>
  <si>
    <t>HSRF0014190539</t>
  </si>
  <si>
    <t>HSRF0014192454</t>
  </si>
  <si>
    <t>HSRF0014192620</t>
  </si>
  <si>
    <t>HSRF0014193915</t>
  </si>
  <si>
    <t>HSRF0014195391</t>
  </si>
  <si>
    <t>HSRF0014196891</t>
  </si>
  <si>
    <t>HSRF0014196884</t>
  </si>
  <si>
    <t>HSRF0014198475</t>
  </si>
  <si>
    <t>HSRF0014201100</t>
  </si>
  <si>
    <t>HSRF0014201185</t>
  </si>
  <si>
    <t>HSRF0014206060</t>
  </si>
  <si>
    <t>HSRF0014206052</t>
  </si>
  <si>
    <t>HSRF0014206041</t>
  </si>
  <si>
    <t>HSRF0014212560</t>
  </si>
  <si>
    <t>HSRF0014215498</t>
  </si>
  <si>
    <t>HSRF0014214599</t>
  </si>
  <si>
    <t>HSRF0014216696</t>
  </si>
  <si>
    <t>HSRF0014216109</t>
  </si>
  <si>
    <t>HSRF0014217389</t>
  </si>
  <si>
    <t>HSRF0014218231</t>
  </si>
  <si>
    <t>HSRF0014217390</t>
  </si>
  <si>
    <t>HSRF0014219234</t>
  </si>
  <si>
    <t>HSRF0014218806</t>
  </si>
  <si>
    <t>HSRF0014220586</t>
  </si>
  <si>
    <t>HSRF0014220627</t>
  </si>
  <si>
    <t>663</t>
  </si>
  <si>
    <t>E.S.E HOSPITAL SAN R</t>
  </si>
  <si>
    <t>8906800251</t>
  </si>
  <si>
    <t>20-lruiz Eurek</t>
  </si>
  <si>
    <t>LREYES</t>
  </si>
  <si>
    <t>H</t>
  </si>
  <si>
    <t>SALDO 20621932414 YESICA MEJIA</t>
  </si>
  <si>
    <t>2062120011</t>
  </si>
  <si>
    <t>KR</t>
  </si>
  <si>
    <t>1904612315</t>
  </si>
  <si>
    <t>2905100202</t>
  </si>
  <si>
    <t>3021714423</t>
  </si>
  <si>
    <t>HSRF14206041</t>
  </si>
  <si>
    <t>76-yolaya Eurek</t>
  </si>
  <si>
    <t>COOSALUD</t>
  </si>
  <si>
    <t>76147645379 HENRY MALAVER</t>
  </si>
  <si>
    <t>1904656762</t>
  </si>
  <si>
    <t>3021710958</t>
  </si>
  <si>
    <t>HSRF14220627</t>
  </si>
  <si>
    <t>76670242088 LUIS DIEZ</t>
  </si>
  <si>
    <t>1904656754</t>
  </si>
  <si>
    <t>HSRF14192620</t>
  </si>
  <si>
    <t>Acreedor</t>
  </si>
  <si>
    <t>Clave referencia 3</t>
  </si>
  <si>
    <t>Clave referencia 1</t>
  </si>
  <si>
    <t>Texto cab.documento</t>
  </si>
  <si>
    <t>Nombre del usuario</t>
  </si>
  <si>
    <t>Demora tras vencimiento neto</t>
  </si>
  <si>
    <t>Indicador Debe/Haber</t>
  </si>
  <si>
    <t>Texto</t>
  </si>
  <si>
    <t>Doc.compensación</t>
  </si>
  <si>
    <t>Importe en moneda local</t>
  </si>
  <si>
    <t>Fe.contabilización</t>
  </si>
  <si>
    <t>Indicador CME</t>
  </si>
  <si>
    <t>Fecha de documento</t>
  </si>
  <si>
    <t>Centro de beneficio</t>
  </si>
  <si>
    <t>Clase de documento</t>
  </si>
  <si>
    <t>Nº documento</t>
  </si>
  <si>
    <t>Cuenta de mayor</t>
  </si>
  <si>
    <t>Asignación</t>
  </si>
  <si>
    <t>Referencia</t>
  </si>
  <si>
    <t>Icono part.abiertas/comp.</t>
  </si>
  <si>
    <t>15-earias Eurek</t>
  </si>
  <si>
    <t>GLOSA INICIAL GL-05316314748</t>
  </si>
  <si>
    <t>2530719021</t>
  </si>
  <si>
    <t>1903226596</t>
  </si>
  <si>
    <t>2205200201</t>
  </si>
  <si>
    <t>8051113272</t>
  </si>
  <si>
    <t>HSRF14017815</t>
  </si>
  <si>
    <t>GLOSA INICIAL GL-25316314764</t>
  </si>
  <si>
    <t>1903226441</t>
  </si>
  <si>
    <t>8051039567</t>
  </si>
  <si>
    <t>HSRF13985748</t>
  </si>
  <si>
    <t>68-fcorrea Eurek</t>
  </si>
  <si>
    <t>GLOSA INICIAL GL-689251636610</t>
  </si>
  <si>
    <t>6800117011</t>
  </si>
  <si>
    <t>1902652444</t>
  </si>
  <si>
    <t>4091010503</t>
  </si>
  <si>
    <t>HSRF13888877</t>
  </si>
  <si>
    <t>GLOSA INICIAL GL-689251636672</t>
  </si>
  <si>
    <t>6837717011</t>
  </si>
  <si>
    <t>1902652440</t>
  </si>
  <si>
    <t>HSRF13870182</t>
  </si>
  <si>
    <t>13-amarquez Eurek</t>
  </si>
  <si>
    <t>GLOSA INICIAL GL-131653111798</t>
  </si>
  <si>
    <t>1300117011</t>
  </si>
  <si>
    <t>1902611640</t>
  </si>
  <si>
    <t>4091009222</t>
  </si>
  <si>
    <t>HSRF13868871</t>
  </si>
  <si>
    <t>54-jcastillo Eurek</t>
  </si>
  <si>
    <t>GLOSA INICIAL GL-5492349355523</t>
  </si>
  <si>
    <t>5400117011</t>
  </si>
  <si>
    <t>1902385966</t>
  </si>
  <si>
    <t>3070930380</t>
  </si>
  <si>
    <t>HSRF13842922</t>
  </si>
  <si>
    <t>08-pnieto Eurek</t>
  </si>
  <si>
    <t>GLOSA INICIAL GL-0892364340899</t>
  </si>
  <si>
    <t>807820011</t>
  </si>
  <si>
    <t>1904424199</t>
  </si>
  <si>
    <t>2031211673</t>
  </si>
  <si>
    <t>HSRF14189199</t>
  </si>
  <si>
    <t>15-jmarin Eurek</t>
  </si>
  <si>
    <t>GLOSA INICIAL GL-2522723132217</t>
  </si>
  <si>
    <t>2575419021</t>
  </si>
  <si>
    <t>1904016829</t>
  </si>
  <si>
    <t>121812246110</t>
  </si>
  <si>
    <t>HSRF14061732</t>
  </si>
  <si>
    <t>68-zmendez Eurek</t>
  </si>
  <si>
    <t>JGIRALDO</t>
  </si>
  <si>
    <t>GLOSA INICIAL GL-6892465372397</t>
  </si>
  <si>
    <t>6839717011</t>
  </si>
  <si>
    <t>1903909565</t>
  </si>
  <si>
    <t>11050953514</t>
  </si>
  <si>
    <t>HSRF14051741</t>
  </si>
  <si>
    <t>VALLE</t>
  </si>
  <si>
    <t>RMARRUGO</t>
  </si>
  <si>
    <t>S</t>
  </si>
  <si>
    <t>EVENTO Dic_2017</t>
  </si>
  <si>
    <t>4800003561</t>
  </si>
  <si>
    <t>B</t>
  </si>
  <si>
    <t>7600000000</t>
  </si>
  <si>
    <t>ZP</t>
  </si>
  <si>
    <t>2000002723</t>
  </si>
  <si>
    <t>1330050204</t>
  </si>
  <si>
    <t>valle</t>
  </si>
  <si>
    <t>MPS VAL DIC_2017</t>
  </si>
  <si>
    <t>CNAVARRO</t>
  </si>
  <si>
    <t>TRASLADAR PAGO DIC 2017</t>
  </si>
  <si>
    <t>KP</t>
  </si>
  <si>
    <t>20180606</t>
  </si>
  <si>
    <t>EVENTO Ene_2018</t>
  </si>
  <si>
    <t>4800002752</t>
  </si>
  <si>
    <t>2000006578</t>
  </si>
  <si>
    <t>MPS VAL ENE_2018</t>
  </si>
  <si>
    <t>TRASLADAR PAGO ENE 2018</t>
  </si>
  <si>
    <t>20180405</t>
  </si>
  <si>
    <t>bogota</t>
  </si>
  <si>
    <t>KJIMENEZ</t>
  </si>
  <si>
    <t>EVENTO MAY_2020 SUBSIDIADO</t>
  </si>
  <si>
    <t>2500000000</t>
  </si>
  <si>
    <t>2000318739</t>
  </si>
  <si>
    <t>MPS BOG-729</t>
  </si>
  <si>
    <t>20621932414 YESICA MEJIA</t>
  </si>
  <si>
    <t>1904612318</t>
  </si>
  <si>
    <t>HSRF14206060</t>
  </si>
  <si>
    <t>1904612316</t>
  </si>
  <si>
    <t>HSRF14206052</t>
  </si>
  <si>
    <t>ABONO 20621932414 YESICA MEJIA</t>
  </si>
  <si>
    <t>68-mvega Eurek</t>
  </si>
  <si>
    <t>68679056160 SILVIA BECERRA</t>
  </si>
  <si>
    <t>6807920011</t>
  </si>
  <si>
    <t>1904389768</t>
  </si>
  <si>
    <t>3021711670</t>
  </si>
  <si>
    <t>HSRF14217389</t>
  </si>
  <si>
    <t>25307148038 JOSE RESTREPO</t>
  </si>
  <si>
    <t>2530720011</t>
  </si>
  <si>
    <t>1904627259</t>
  </si>
  <si>
    <t>2905100203</t>
  </si>
  <si>
    <t>3021708940</t>
  </si>
  <si>
    <t>HSRF14220586</t>
  </si>
  <si>
    <t>25307155206 PEDRO QUIÑONEZ</t>
  </si>
  <si>
    <t>1904627257</t>
  </si>
  <si>
    <t>HSRF14219234</t>
  </si>
  <si>
    <t>13430416955 URIEL MEDINA</t>
  </si>
  <si>
    <t>1343020011</t>
  </si>
  <si>
    <t>1904627253</t>
  </si>
  <si>
    <t>HSRF14215498</t>
  </si>
  <si>
    <t>25307116335 CESAR HERRERA</t>
  </si>
  <si>
    <t>1904627250</t>
  </si>
  <si>
    <t>HSRF14214599</t>
  </si>
  <si>
    <t>1904627247</t>
  </si>
  <si>
    <t>HSRF14212560</t>
  </si>
  <si>
    <t>25307119034 MARLY CORDOBA</t>
  </si>
  <si>
    <t>1904627243</t>
  </si>
  <si>
    <t>2905100103</t>
  </si>
  <si>
    <t>HSRF14201185</t>
  </si>
  <si>
    <t>25754141660 LUIS RODRIGUEZ</t>
  </si>
  <si>
    <t>2575420011</t>
  </si>
  <si>
    <t>1904627239</t>
  </si>
  <si>
    <t>HSRF14201100</t>
  </si>
  <si>
    <t>25754149801 MARIA ECHEVERRY</t>
  </si>
  <si>
    <t>1904627236</t>
  </si>
  <si>
    <t>HSRF14193915</t>
  </si>
  <si>
    <t>25754157567 ANDRY CASTAÑEDA</t>
  </si>
  <si>
    <t>1904627231</t>
  </si>
  <si>
    <t>HSRF14192454</t>
  </si>
  <si>
    <t>25754149232 YILBER CHIVATA</t>
  </si>
  <si>
    <t>1904627227</t>
  </si>
  <si>
    <t>HSRF14164139</t>
  </si>
  <si>
    <t>25754149231 EDNA CHIVATA</t>
  </si>
  <si>
    <t>1904627224</t>
  </si>
  <si>
    <t>HSRF14164134</t>
  </si>
  <si>
    <t>11-jmarin Eurek</t>
  </si>
  <si>
    <t>11001160170 VICTOR SARMIENTO</t>
  </si>
  <si>
    <t>1100120011</t>
  </si>
  <si>
    <t>1904648269</t>
  </si>
  <si>
    <t>2905100102</t>
  </si>
  <si>
    <t>3021703917</t>
  </si>
  <si>
    <t>HSRF14218806</t>
  </si>
  <si>
    <t>54405423914 ORLANDO SANDOVAL</t>
  </si>
  <si>
    <t>5440520011</t>
  </si>
  <si>
    <t>1904548593</t>
  </si>
  <si>
    <t>3021701482</t>
  </si>
  <si>
    <t>HSRF14198475</t>
  </si>
  <si>
    <t>1904627220</t>
  </si>
  <si>
    <t>3021700287</t>
  </si>
  <si>
    <t>HSRF14218231</t>
  </si>
  <si>
    <t>1904627219</t>
  </si>
  <si>
    <t>HSRF14216696</t>
  </si>
  <si>
    <t>1904627217</t>
  </si>
  <si>
    <t>HSRF14216109</t>
  </si>
  <si>
    <t>25269172716 LUZ VANEGAS</t>
  </si>
  <si>
    <t>2526920011</t>
  </si>
  <si>
    <t>1904627216</t>
  </si>
  <si>
    <t>HSRF14195391</t>
  </si>
  <si>
    <t>05-cecheverri Eurek</t>
  </si>
  <si>
    <t>05002141416 VERONICA MARULANDA</t>
  </si>
  <si>
    <t>500217011</t>
  </si>
  <si>
    <t>1904432259</t>
  </si>
  <si>
    <t>2191430824</t>
  </si>
  <si>
    <t>HSRF14196891</t>
  </si>
  <si>
    <t>68307421935 PEDRO VILLAMIZAR</t>
  </si>
  <si>
    <t>6830720011</t>
  </si>
  <si>
    <t>1904257879</t>
  </si>
  <si>
    <t>2031223668</t>
  </si>
  <si>
    <t>HSRF14189521</t>
  </si>
  <si>
    <t>1904343512</t>
  </si>
  <si>
    <t>2031222830</t>
  </si>
  <si>
    <t>HSRF14190421</t>
  </si>
  <si>
    <t>54001409809 GABRIELA GARCIA</t>
  </si>
  <si>
    <t>5400120011</t>
  </si>
  <si>
    <t>1904384491</t>
  </si>
  <si>
    <t>2031221984</t>
  </si>
  <si>
    <t>HSRF14184434</t>
  </si>
  <si>
    <t>54820409315 CRISTOPHER RANGEL</t>
  </si>
  <si>
    <t>5482020011</t>
  </si>
  <si>
    <t>1904384488</t>
  </si>
  <si>
    <t>HSRF14155779</t>
  </si>
  <si>
    <t>25754141390 HIPOLITO MOGOLLON</t>
  </si>
  <si>
    <t>1904343569</t>
  </si>
  <si>
    <t>2031220540</t>
  </si>
  <si>
    <t>HSRF14190806</t>
  </si>
  <si>
    <t>25307113751 ANA BERNATE</t>
  </si>
  <si>
    <t>1904343560</t>
  </si>
  <si>
    <t>HSRF14187917</t>
  </si>
  <si>
    <t>1904343555</t>
  </si>
  <si>
    <t>HSRF14181115</t>
  </si>
  <si>
    <t>1904343525</t>
  </si>
  <si>
    <t>HSRF14168509</t>
  </si>
  <si>
    <t>25754138496 JULIO SOLORZANO</t>
  </si>
  <si>
    <t>1904343521</t>
  </si>
  <si>
    <t>HSRF14161585</t>
  </si>
  <si>
    <t>1904343519</t>
  </si>
  <si>
    <t>HSRF14161328</t>
  </si>
  <si>
    <t>1904343517</t>
  </si>
  <si>
    <t>HSRF14145952</t>
  </si>
  <si>
    <t>13001474338 GERALDIN PEREZ</t>
  </si>
  <si>
    <t>1300120011</t>
  </si>
  <si>
    <t>1904596093</t>
  </si>
  <si>
    <t>2031216979</t>
  </si>
  <si>
    <t>HSRF14190539</t>
  </si>
  <si>
    <t>08078200187 JULIANA ROJAS</t>
  </si>
  <si>
    <t>COMPENSACION</t>
  </si>
  <si>
    <t>1316020011</t>
  </si>
  <si>
    <t>ZV</t>
  </si>
  <si>
    <t>20200530</t>
  </si>
  <si>
    <t>76-sarcila Eurek</t>
  </si>
  <si>
    <t>76147651886 LIZETH TORO</t>
  </si>
  <si>
    <t>7614717011</t>
  </si>
  <si>
    <t>1903832170</t>
  </si>
  <si>
    <t>12181247330</t>
  </si>
  <si>
    <t>HSRF14158162</t>
  </si>
  <si>
    <t>13-jasalgado Eurek</t>
  </si>
  <si>
    <t>13160516803 SAMUEL CAMARGO</t>
  </si>
  <si>
    <t>1904272783</t>
  </si>
  <si>
    <t>12181246195</t>
  </si>
  <si>
    <t>HSRF14157405</t>
  </si>
  <si>
    <t>5482018011</t>
  </si>
  <si>
    <t>1903865381</t>
  </si>
  <si>
    <t>12181243192</t>
  </si>
  <si>
    <t>HSRF14152100</t>
  </si>
  <si>
    <t>20013892373 SANDRA ANTE</t>
  </si>
  <si>
    <t>2001317011</t>
  </si>
  <si>
    <t>1903950556</t>
  </si>
  <si>
    <t>12181240930</t>
  </si>
  <si>
    <t>HSRF14144255</t>
  </si>
  <si>
    <t>76-cmontano Eurek</t>
  </si>
  <si>
    <t>76001645696 YANIRA GIL</t>
  </si>
  <si>
    <t>7600117011</t>
  </si>
  <si>
    <t>1903857985</t>
  </si>
  <si>
    <t>12181236822</t>
  </si>
  <si>
    <t>HSRF14094935</t>
  </si>
  <si>
    <t>94-earias_94 Eurek</t>
  </si>
  <si>
    <t>94001241965 DAVID PABON</t>
  </si>
  <si>
    <t>9400117011</t>
  </si>
  <si>
    <t>1904039502</t>
  </si>
  <si>
    <t>12181235393</t>
  </si>
  <si>
    <t>HSRF14109476</t>
  </si>
  <si>
    <t>70-yenperez Eurek</t>
  </si>
  <si>
    <t>70265206059 JESUS RIVERO</t>
  </si>
  <si>
    <t>7026517011</t>
  </si>
  <si>
    <t>1903844780</t>
  </si>
  <si>
    <t>12181234133</t>
  </si>
  <si>
    <t>HSRF14127066</t>
  </si>
  <si>
    <t>1904016773</t>
  </si>
  <si>
    <t>12181229156</t>
  </si>
  <si>
    <t>HSRF14121486</t>
  </si>
  <si>
    <t>1904016764</t>
  </si>
  <si>
    <t>HSRF14117670</t>
  </si>
  <si>
    <t>25307115491 HERNAN URUEÑA</t>
  </si>
  <si>
    <t>1904016754</t>
  </si>
  <si>
    <t>HSRF14117332</t>
  </si>
  <si>
    <t>1904016718</t>
  </si>
  <si>
    <t>HSRF14116024</t>
  </si>
  <si>
    <t>1904016688</t>
  </si>
  <si>
    <t>HSRF14109270</t>
  </si>
  <si>
    <t>1904016679</t>
  </si>
  <si>
    <t>HSRF14106070</t>
  </si>
  <si>
    <t>1904016637</t>
  </si>
  <si>
    <t>HSRF14106065</t>
  </si>
  <si>
    <t>25754139665 JOSE RODRIGUEZ</t>
  </si>
  <si>
    <t>1904016626</t>
  </si>
  <si>
    <t>HSRF14103682</t>
  </si>
  <si>
    <t>25754155430 LUIS CARRILLO</t>
  </si>
  <si>
    <t>1904016617</t>
  </si>
  <si>
    <t>HSRF14101507</t>
  </si>
  <si>
    <t>25754136044 LAURA DURAN</t>
  </si>
  <si>
    <t>1904016605</t>
  </si>
  <si>
    <t>HSRF14101119</t>
  </si>
  <si>
    <t>1904016600</t>
  </si>
  <si>
    <t>HSRF14100131</t>
  </si>
  <si>
    <t>25754141986 DEOGRACIAS PINZON</t>
  </si>
  <si>
    <t>1904016337</t>
  </si>
  <si>
    <t>HSRF14096062</t>
  </si>
  <si>
    <t>1904016329</t>
  </si>
  <si>
    <t>HSRF14094605</t>
  </si>
  <si>
    <t>76-jmarin Eurek</t>
  </si>
  <si>
    <t>1904016308</t>
  </si>
  <si>
    <t>12181224627</t>
  </si>
  <si>
    <t>HSRF14086331</t>
  </si>
  <si>
    <t>1904016303</t>
  </si>
  <si>
    <t>HSRF14088104</t>
  </si>
  <si>
    <t>1904017916</t>
  </si>
  <si>
    <t>HSRF14152839</t>
  </si>
  <si>
    <t>1904017911</t>
  </si>
  <si>
    <t>HSRF14141827</t>
  </si>
  <si>
    <t>1904017885</t>
  </si>
  <si>
    <t>HSRF14129197</t>
  </si>
  <si>
    <t>25754127910 JORGE CHIA</t>
  </si>
  <si>
    <t>1904017639</t>
  </si>
  <si>
    <t>HSRF14128080</t>
  </si>
  <si>
    <t>25754139287 NEILA CASTELLANOS</t>
  </si>
  <si>
    <t>1904023966</t>
  </si>
  <si>
    <t>12181224611</t>
  </si>
  <si>
    <t>HSRF14152608</t>
  </si>
  <si>
    <t>1904023894</t>
  </si>
  <si>
    <t>HSRF14139579</t>
  </si>
  <si>
    <t>1904023841</t>
  </si>
  <si>
    <t>HSRF14130160</t>
  </si>
  <si>
    <t>1904023834</t>
  </si>
  <si>
    <t>HSRF14129879</t>
  </si>
  <si>
    <t>1904023832</t>
  </si>
  <si>
    <t>HSRF14129868</t>
  </si>
  <si>
    <t>1904023797</t>
  </si>
  <si>
    <t>HSRF14090046</t>
  </si>
  <si>
    <t>1904023789</t>
  </si>
  <si>
    <t>HSRF14085950</t>
  </si>
  <si>
    <t>1904023730</t>
  </si>
  <si>
    <t>HSRF14061332</t>
  </si>
  <si>
    <t>1904023722</t>
  </si>
  <si>
    <t>HSRF14060446</t>
  </si>
  <si>
    <t>1904023687</t>
  </si>
  <si>
    <t>HSRF14056365</t>
  </si>
  <si>
    <t>47-fmazzeneth Eurek</t>
  </si>
  <si>
    <t>4700105666903 NESTOR MEJIA</t>
  </si>
  <si>
    <t>4700117011</t>
  </si>
  <si>
    <t>1903910461</t>
  </si>
  <si>
    <t>12181211877</t>
  </si>
  <si>
    <t>HSRF14128051</t>
  </si>
  <si>
    <t>ABONO FACT HSRF14059388</t>
  </si>
  <si>
    <t>MMARQUEZ</t>
  </si>
  <si>
    <t>SALDO FACT HSRF14059388 47268222039 DIANA PATRICIA</t>
  </si>
  <si>
    <t>4726817011</t>
  </si>
  <si>
    <t>1903746532</t>
  </si>
  <si>
    <t>11050958257</t>
  </si>
  <si>
    <t>HSRF14059388</t>
  </si>
  <si>
    <t>13001044638 KELLYS GOMEZ</t>
  </si>
  <si>
    <t>1903982129</t>
  </si>
  <si>
    <t>11050956093</t>
  </si>
  <si>
    <t>HSRF14039063</t>
  </si>
  <si>
    <t>68689005875 JERSON ARDILA</t>
  </si>
  <si>
    <t>6827617011</t>
  </si>
  <si>
    <t>1903909581</t>
  </si>
  <si>
    <t>HSRF14053032</t>
  </si>
  <si>
    <t>68377399953 JHOAN MORENO</t>
  </si>
  <si>
    <t>1903909574</t>
  </si>
  <si>
    <t>HSRF14049496</t>
  </si>
  <si>
    <t>SALDO PAGO MAR 2020</t>
  </si>
  <si>
    <t>AB</t>
  </si>
  <si>
    <t>105239671</t>
  </si>
  <si>
    <t>HSRF14051741.</t>
  </si>
  <si>
    <t>REGISTRO ACEPTACION DE GL</t>
  </si>
  <si>
    <t>DIGITADORBOY</t>
  </si>
  <si>
    <t>ACEPTA EPS GLOS FE HSRF13802351 13/06/2019 C</t>
  </si>
  <si>
    <t>5440517011</t>
  </si>
  <si>
    <t>104365140</t>
  </si>
  <si>
    <t>GL-549299935783</t>
  </si>
  <si>
    <t>HSRF13802351</t>
  </si>
  <si>
    <t>ACEPTA EPS GLOS FE HSRF13791092 13/06/2019 C</t>
  </si>
  <si>
    <t>104365143</t>
  </si>
  <si>
    <t>GL-549299935772</t>
  </si>
  <si>
    <t>HSRF13791092</t>
  </si>
  <si>
    <t>CUNDINAMARCA</t>
  </si>
  <si>
    <t>EVENTO - DESENCAJE RESERVAS TECNICAS</t>
  </si>
  <si>
    <t>2000323238</t>
  </si>
  <si>
    <t>cundinamarca</t>
  </si>
  <si>
    <t>70497106 CUN-394</t>
  </si>
  <si>
    <t>15-leruiz Eurek</t>
  </si>
  <si>
    <t>15090000941 JAIRO YOBANI LEMUS MONTAÑA</t>
  </si>
  <si>
    <t>1566017011</t>
  </si>
  <si>
    <t>1903321940</t>
  </si>
  <si>
    <t>8051120077</t>
  </si>
  <si>
    <t>HSRF14011373</t>
  </si>
  <si>
    <t>76275139319 MARINA  PARDO VDA DE MEJIA</t>
  </si>
  <si>
    <t>7627517011</t>
  </si>
  <si>
    <t>1903200106</t>
  </si>
  <si>
    <t>8051119158</t>
  </si>
  <si>
    <t>HSRF14003145</t>
  </si>
  <si>
    <t>76001645695 RICARDO LOPEZ AGUDELO</t>
  </si>
  <si>
    <t>1903200099</t>
  </si>
  <si>
    <t>HSRF14000927</t>
  </si>
  <si>
    <t>20001360660 ELIAS DAVID CABANA VELASQUEZ</t>
  </si>
  <si>
    <t>2000117021</t>
  </si>
  <si>
    <t>1903182458</t>
  </si>
  <si>
    <t>8051117131</t>
  </si>
  <si>
    <t>HSRF13996573</t>
  </si>
  <si>
    <t>76-acabrera Eurek</t>
  </si>
  <si>
    <t>76622638484 EMANUEL SANCHEZ HERRERA</t>
  </si>
  <si>
    <t>7662217011</t>
  </si>
  <si>
    <t>1903188324</t>
  </si>
  <si>
    <t>8051050532</t>
  </si>
  <si>
    <t>HSRF13962507</t>
  </si>
  <si>
    <t>76109298528 JAIR VALENCIA TORRES</t>
  </si>
  <si>
    <t>1903188313</t>
  </si>
  <si>
    <t>HSRF13956581</t>
  </si>
  <si>
    <t>ABONO FE HSRF13987467</t>
  </si>
  <si>
    <t>SALDO 54001325071 LUIS ROJAS DAZA</t>
  </si>
  <si>
    <t>105211031</t>
  </si>
  <si>
    <t>8051037104</t>
  </si>
  <si>
    <t>HSRF13987467.</t>
  </si>
  <si>
    <t>SALDO 13001044645 DAIRON MURILLO</t>
  </si>
  <si>
    <t>1904277972</t>
  </si>
  <si>
    <t>12181239244</t>
  </si>
  <si>
    <t>HSRF14071101</t>
  </si>
  <si>
    <t>SALDO 25307119034 MARLY CORDOBA</t>
  </si>
  <si>
    <t>1904023742</t>
  </si>
  <si>
    <t>HSRF14071197</t>
  </si>
  <si>
    <t>ABONO PAGO MAR 2020</t>
  </si>
  <si>
    <t>76-rluna Eurek</t>
  </si>
  <si>
    <t>76001168705 LUCY YARLENY MEZA ORTIZ</t>
  </si>
  <si>
    <t>1903505149</t>
  </si>
  <si>
    <t>10021109241</t>
  </si>
  <si>
    <t>HSRF14060526</t>
  </si>
  <si>
    <t>EVENTO ABR_2020</t>
  </si>
  <si>
    <t>2000298345</t>
  </si>
  <si>
    <t>MPS CUN-444</t>
  </si>
  <si>
    <t>ABONO FE HSRF14017815</t>
  </si>
  <si>
    <t>SALDO 25307119034 MARLY JULIETH CORDOBA SANCHEZ</t>
  </si>
  <si>
    <t>105211016</t>
  </si>
  <si>
    <t>HSRF14017815.</t>
  </si>
  <si>
    <t>SALDO FE HSRF14010076 25754141390 HIPOLITO  MOGOLL</t>
  </si>
  <si>
    <t>105076464</t>
  </si>
  <si>
    <t>HSRF14010076.</t>
  </si>
  <si>
    <t>SALDO 25754149232 YILBER CHIVATA</t>
  </si>
  <si>
    <t>1904343549</t>
  </si>
  <si>
    <t>HSRF14180002</t>
  </si>
  <si>
    <t>1904023962</t>
  </si>
  <si>
    <t>HSRF14142132</t>
  </si>
  <si>
    <t>1904023900</t>
  </si>
  <si>
    <t>HSRF14141346</t>
  </si>
  <si>
    <t>1904023829</t>
  </si>
  <si>
    <t>HSRF14128886</t>
  </si>
  <si>
    <t>1904023823</t>
  </si>
  <si>
    <t>HSRF14092450</t>
  </si>
  <si>
    <t>1904023804</t>
  </si>
  <si>
    <t>HSRF14092291</t>
  </si>
  <si>
    <t>1904023772</t>
  </si>
  <si>
    <t>HSRF14085241</t>
  </si>
  <si>
    <t>1904023770</t>
  </si>
  <si>
    <t>HSRF14080988</t>
  </si>
  <si>
    <t>1904023756</t>
  </si>
  <si>
    <t>HSRF14080983</t>
  </si>
  <si>
    <t>ABONO 25307119034 MARLY CORDOBA</t>
  </si>
  <si>
    <t>1904023672</t>
  </si>
  <si>
    <t>HSRF14035526</t>
  </si>
  <si>
    <t>norte de santander</t>
  </si>
  <si>
    <t>EVENTO MAR_2020</t>
  </si>
  <si>
    <t>5400000000</t>
  </si>
  <si>
    <t>2000282056</t>
  </si>
  <si>
    <t>MPS NOR-1047</t>
  </si>
  <si>
    <t>54874361374 ESPERANZA VARON PEDROZA</t>
  </si>
  <si>
    <t>5487417011</t>
  </si>
  <si>
    <t>1903244113</t>
  </si>
  <si>
    <t>HSRF13964124</t>
  </si>
  <si>
    <t>ABONO 54001325071 LUIS ROJAS DAZA</t>
  </si>
  <si>
    <t>20200403</t>
  </si>
  <si>
    <t>54874361825 CARMEN TOLOZA</t>
  </si>
  <si>
    <t>1903865246</t>
  </si>
  <si>
    <t>12181244177</t>
  </si>
  <si>
    <t>HSRF14155696</t>
  </si>
  <si>
    <t>1903865425</t>
  </si>
  <si>
    <t>12181232340</t>
  </si>
  <si>
    <t>HSRF14107382</t>
  </si>
  <si>
    <t>2000281799</t>
  </si>
  <si>
    <t>MPS CUN-791</t>
  </si>
  <si>
    <t>ABONO 25307119034 MARLY JULIETH CORDOBA SANCHEZ</t>
  </si>
  <si>
    <t>YB999</t>
  </si>
  <si>
    <t>SALDO 25754137261 NERIETH TATIANA BARRIOS CANCELAD</t>
  </si>
  <si>
    <t>1903740887</t>
  </si>
  <si>
    <t>11051002670</t>
  </si>
  <si>
    <t>HSRF14033382</t>
  </si>
  <si>
    <t>bolivar</t>
  </si>
  <si>
    <t>2000289496</t>
  </si>
  <si>
    <t>1300000000</t>
  </si>
  <si>
    <t>2000281457</t>
  </si>
  <si>
    <t>MPS BOL-449</t>
  </si>
  <si>
    <t>ABONO 13001044645 DAIRON MURILLO</t>
  </si>
  <si>
    <t>atlantico</t>
  </si>
  <si>
    <t>800000000</t>
  </si>
  <si>
    <t>2000281304</t>
  </si>
  <si>
    <t>MPS ATL-296</t>
  </si>
  <si>
    <t>ABONO 25754149232 YILBER CHIVATA</t>
  </si>
  <si>
    <t>1904343542</t>
  </si>
  <si>
    <t>HSRF14175042</t>
  </si>
  <si>
    <t>1904343532</t>
  </si>
  <si>
    <t>HSRF14175038</t>
  </si>
  <si>
    <t>1904343531</t>
  </si>
  <si>
    <t>HSRF14169688</t>
  </si>
  <si>
    <t>antioquia</t>
  </si>
  <si>
    <t>500000000</t>
  </si>
  <si>
    <t>2000281144</t>
  </si>
  <si>
    <t>MPS ANT-136</t>
  </si>
  <si>
    <t>05-adbenitez Eurek</t>
  </si>
  <si>
    <t>05495175741 JOHANIS PEÑA</t>
  </si>
  <si>
    <t>549517011</t>
  </si>
  <si>
    <t>1903842953</t>
  </si>
  <si>
    <t>11200711050</t>
  </si>
  <si>
    <t>HSRF14112240</t>
  </si>
  <si>
    <t>ANTIOQUIA</t>
  </si>
  <si>
    <t>EVENTO FEB_2020</t>
  </si>
  <si>
    <t>2000289450</t>
  </si>
  <si>
    <t>2000278972</t>
  </si>
  <si>
    <t>65550681 ANT-309</t>
  </si>
  <si>
    <t>HSRF13935786</t>
  </si>
  <si>
    <t>JHENAO</t>
  </si>
  <si>
    <t>SALDO FACTURA HSRF13935786 E.S.E HOSPITAL SAN RAFA</t>
  </si>
  <si>
    <t>573617011</t>
  </si>
  <si>
    <t>1903756015</t>
  </si>
  <si>
    <t>8051048850</t>
  </si>
  <si>
    <t>1904023659</t>
  </si>
  <si>
    <t>HSRF14035390</t>
  </si>
  <si>
    <t>1904023651</t>
  </si>
  <si>
    <t>HSRF14035384</t>
  </si>
  <si>
    <t>1904023647</t>
  </si>
  <si>
    <t>HSRF14034753</t>
  </si>
  <si>
    <t>05-jmarin Eurek</t>
  </si>
  <si>
    <t>1903851341</t>
  </si>
  <si>
    <t>11050939522</t>
  </si>
  <si>
    <t>HSRF14091911</t>
  </si>
  <si>
    <t>santander</t>
  </si>
  <si>
    <t>2000283255</t>
  </si>
  <si>
    <t>6800000000</t>
  </si>
  <si>
    <t>2000282225</t>
  </si>
  <si>
    <t>MPS SAN-1216</t>
  </si>
  <si>
    <t>PAGO MPS MAR 20</t>
  </si>
  <si>
    <t>20200316</t>
  </si>
  <si>
    <t>ABONO COMP PAGO MAR 2020</t>
  </si>
  <si>
    <t>EVENTO DIC_2019  RED.PUBLICA</t>
  </si>
  <si>
    <t>2000252987</t>
  </si>
  <si>
    <t>2000240754</t>
  </si>
  <si>
    <t>MPS BOL-415</t>
  </si>
  <si>
    <t>13001141984 YULMER ALBERTO MEJIA OSORIO</t>
  </si>
  <si>
    <t>1903319786</t>
  </si>
  <si>
    <t>8051035780</t>
  </si>
  <si>
    <t>HSRF13986721</t>
  </si>
  <si>
    <t>20191231</t>
  </si>
  <si>
    <t>ABONO 25754137261 NERIETH TATIANA BARRIOS CANCELAD</t>
  </si>
  <si>
    <t>2000252986</t>
  </si>
  <si>
    <t>2000240759</t>
  </si>
  <si>
    <t>MPS SAN-420</t>
  </si>
  <si>
    <t>ACEPTA EPS GLOS FE HSRF13686602 13/06/2019 C</t>
  </si>
  <si>
    <t>104365141</t>
  </si>
  <si>
    <t>GL-689251635877</t>
  </si>
  <si>
    <t>HSRF13686602</t>
  </si>
  <si>
    <t>68307145853 NICOLAS DAVID RUIZ</t>
  </si>
  <si>
    <t>6830717011</t>
  </si>
  <si>
    <t>1903166868</t>
  </si>
  <si>
    <t>8051049968</t>
  </si>
  <si>
    <t>HSRF13942783</t>
  </si>
  <si>
    <t>68406163613 ESTEFANI  GONZALEZ GARCES</t>
  </si>
  <si>
    <t>6840617011</t>
  </si>
  <si>
    <t>1903212644</t>
  </si>
  <si>
    <t>8051043271</t>
  </si>
  <si>
    <t>HSRF13992996</t>
  </si>
  <si>
    <t>2000252985</t>
  </si>
  <si>
    <t>2000240756</t>
  </si>
  <si>
    <t>MPS CUN-417</t>
  </si>
  <si>
    <t>25754139054 MARIAN DAYAN CAÑON MUÑOZ</t>
  </si>
  <si>
    <t>1903226534</t>
  </si>
  <si>
    <t>HSRF14005780</t>
  </si>
  <si>
    <t>25307113751 ANA INGRY BERNATE LOPEZ</t>
  </si>
  <si>
    <t>1903226515</t>
  </si>
  <si>
    <t>HSRF14000562</t>
  </si>
  <si>
    <t>ABONO FE HSRF14010076 25754141390 HIPOLITO  MOGOLL</t>
  </si>
  <si>
    <t>1903226468</t>
  </si>
  <si>
    <t>HSRF13987406</t>
  </si>
  <si>
    <t>2000252984</t>
  </si>
  <si>
    <t>2000240758</t>
  </si>
  <si>
    <t>MPS NOR-419</t>
  </si>
  <si>
    <t>54001407699 OMAR CASTRO LEAL</t>
  </si>
  <si>
    <t>1903725280</t>
  </si>
  <si>
    <t>11050954376</t>
  </si>
  <si>
    <t>HSRF14039314</t>
  </si>
  <si>
    <t>54001295180 JOHNATTAN DUARTE ANGULO</t>
  </si>
  <si>
    <t>1903725272</t>
  </si>
  <si>
    <t>HSRF14038727</t>
  </si>
  <si>
    <t>boyaca</t>
  </si>
  <si>
    <t>2000252982</t>
  </si>
  <si>
    <t>1500000000</t>
  </si>
  <si>
    <t>2000240755</t>
  </si>
  <si>
    <t>MPS BOY-416</t>
  </si>
  <si>
    <t>1564617011</t>
  </si>
  <si>
    <t>15646112263 JOHAN GOMEZ</t>
  </si>
  <si>
    <t>1903756657</t>
  </si>
  <si>
    <t>11050950634</t>
  </si>
  <si>
    <t>HSRF14052537</t>
  </si>
  <si>
    <t>sucre</t>
  </si>
  <si>
    <t>2000251236</t>
  </si>
  <si>
    <t>7000000000</t>
  </si>
  <si>
    <t>2000240760</t>
  </si>
  <si>
    <t>MPS SUC-421</t>
  </si>
  <si>
    <t>LEG PAGO EVENT DIC 2019</t>
  </si>
  <si>
    <t>SRAMOS</t>
  </si>
  <si>
    <t>20191226</t>
  </si>
  <si>
    <t>LEG PAGO EVENTO</t>
  </si>
  <si>
    <t>70265206059 JESUS ALBERTO RIVERO PEREZ</t>
  </si>
  <si>
    <t>1903715577</t>
  </si>
  <si>
    <t>11051006184</t>
  </si>
  <si>
    <t>HSRF14043893</t>
  </si>
  <si>
    <t>2000251084</t>
  </si>
  <si>
    <t>2000240753</t>
  </si>
  <si>
    <t>MPS ANT-414</t>
  </si>
  <si>
    <t>05495175741 JOHANIS DE JESUS PEÑA MUNERA</t>
  </si>
  <si>
    <t>1903330926</t>
  </si>
  <si>
    <t>8051036339</t>
  </si>
  <si>
    <t>HSRF13992519</t>
  </si>
  <si>
    <t>PAGO EVENTO DICIEMBRE/19</t>
  </si>
  <si>
    <t>COMPENSACION PAGO EVENTO DICIEMBRE/2019</t>
  </si>
  <si>
    <t>20191223</t>
  </si>
  <si>
    <t>PAGO EVENTO</t>
  </si>
  <si>
    <t>ABONO FACTURA HSRF13935786 E.S.E HOSPITAL SAN RAFA</t>
  </si>
  <si>
    <t>magdalena</t>
  </si>
  <si>
    <t>2000242609</t>
  </si>
  <si>
    <t>4700000000</t>
  </si>
  <si>
    <t>2000240757</t>
  </si>
  <si>
    <t>MPS MAG-418</t>
  </si>
  <si>
    <t>47-anlopez Eurek</t>
  </si>
  <si>
    <t>4700105666903 NESTOR MANUEL MEJIA ATENCIO</t>
  </si>
  <si>
    <t>1902688427</t>
  </si>
  <si>
    <t>4091014246</t>
  </si>
  <si>
    <t>HSRF13888908</t>
  </si>
  <si>
    <t>MPS DIC/2019 OP240757</t>
  </si>
  <si>
    <t>20191218</t>
  </si>
  <si>
    <t>MPS DIC/2019</t>
  </si>
  <si>
    <t>ABONO FACT HSRF14059388 47268222039 DIANA PATRICIA</t>
  </si>
  <si>
    <t>4726819011</t>
  </si>
  <si>
    <t>1903730017</t>
  </si>
  <si>
    <t>HSRF14048409</t>
  </si>
  <si>
    <t>47980228892 ESTIVENSON JOSE CASTILLO RIVERA</t>
  </si>
  <si>
    <t>4798017011</t>
  </si>
  <si>
    <t>1903730012</t>
  </si>
  <si>
    <t>HSRF14046442</t>
  </si>
  <si>
    <t>2000242300</t>
  </si>
  <si>
    <t>2000240761</t>
  </si>
  <si>
    <t>MPS VAL-422</t>
  </si>
  <si>
    <t>COMP MPS VAL DIC 2019</t>
  </si>
  <si>
    <t>SARCILA</t>
  </si>
  <si>
    <t>20191206</t>
  </si>
  <si>
    <t>MPS VAL DIC 2019</t>
  </si>
  <si>
    <t>76001597441 JOSHUA ALEXANDER MEDINA ESLAVA</t>
  </si>
  <si>
    <t>1903653665</t>
  </si>
  <si>
    <t>11050957247</t>
  </si>
  <si>
    <t>HSRF14046288</t>
  </si>
  <si>
    <t>76001155777 WILLIAM ALEXANDER MEDINA SANCHEZ</t>
  </si>
  <si>
    <t>1903653660</t>
  </si>
  <si>
    <t>HSRF14046343</t>
  </si>
  <si>
    <t>EVENTO SEP_2019</t>
  </si>
  <si>
    <t>2000198808</t>
  </si>
  <si>
    <t>2000186752</t>
  </si>
  <si>
    <t>MPS CUN-450</t>
  </si>
  <si>
    <t>25307119034 MARLY JULIETH CORDOBA SANCHEZ</t>
  </si>
  <si>
    <t>1903226622</t>
  </si>
  <si>
    <t>HSRF14027666</t>
  </si>
  <si>
    <t>1903226607</t>
  </si>
  <si>
    <t>HSRF14020236</t>
  </si>
  <si>
    <t>25307120792 JONATHAN DAVID BARRIOS LONDOÑO</t>
  </si>
  <si>
    <t>1903226550</t>
  </si>
  <si>
    <t>HSRF14005825</t>
  </si>
  <si>
    <t>25754141390 HIPOLITO  MOGOLLON MONTAÑA</t>
  </si>
  <si>
    <t>1903226503</t>
  </si>
  <si>
    <t>HSRF13996526</t>
  </si>
  <si>
    <t>25307121079 JHOANA MARCELA CRUZ CORTES</t>
  </si>
  <si>
    <t>1903226488</t>
  </si>
  <si>
    <t>HSRF13983287</t>
  </si>
  <si>
    <t>1903226452</t>
  </si>
  <si>
    <t>HSRF13985832</t>
  </si>
  <si>
    <t>1903226426</t>
  </si>
  <si>
    <t>HSRF13982194</t>
  </si>
  <si>
    <t>1903226420</t>
  </si>
  <si>
    <t>HSRF13980249</t>
  </si>
  <si>
    <t>1903226414</t>
  </si>
  <si>
    <t>HSRF13972081</t>
  </si>
  <si>
    <t>25754130520 LUZ MARINA PAEZ</t>
  </si>
  <si>
    <t>1903226408</t>
  </si>
  <si>
    <t>HSRF13970054</t>
  </si>
  <si>
    <t>20190927</t>
  </si>
  <si>
    <t>SANTANDER</t>
  </si>
  <si>
    <t>EVENTO JUN_2019</t>
  </si>
  <si>
    <t>2000149534</t>
  </si>
  <si>
    <t>MPS SAN-387</t>
  </si>
  <si>
    <t>68377413163 LINA ESCOBAR RODRIGUEZ</t>
  </si>
  <si>
    <t>1902830854</t>
  </si>
  <si>
    <t>5171022552</t>
  </si>
  <si>
    <t>HSRF13919432</t>
  </si>
  <si>
    <t>68377413167 HARON IBAÑEZ ESCOBAR</t>
  </si>
  <si>
    <t>1902830836</t>
  </si>
  <si>
    <t>HSRF13919396</t>
  </si>
  <si>
    <t>68377399953 JHOAN MATHIAS MORENO PEREIRA</t>
  </si>
  <si>
    <t>1902830822</t>
  </si>
  <si>
    <t>HSRF13917101</t>
  </si>
  <si>
    <t>68615286356 DEIVEN IBAÑEZ NIÑO</t>
  </si>
  <si>
    <t>1902830807</t>
  </si>
  <si>
    <t>HSRF13908407</t>
  </si>
  <si>
    <t>BOLIVAR</t>
  </si>
  <si>
    <t>2000155355</t>
  </si>
  <si>
    <t>2000149529</t>
  </si>
  <si>
    <t>MPS BOL-382</t>
  </si>
  <si>
    <t>13001044645 DAIRON  MURILLO GOMEZ</t>
  </si>
  <si>
    <t>1902756433</t>
  </si>
  <si>
    <t>5171015291</t>
  </si>
  <si>
    <t>HSRF13915544</t>
  </si>
  <si>
    <t>13001044638 KELLYS  GOMEZ LLERENA</t>
  </si>
  <si>
    <t>1902756432</t>
  </si>
  <si>
    <t>HSRF13910263</t>
  </si>
  <si>
    <t>20190708</t>
  </si>
  <si>
    <t>BOYACA</t>
  </si>
  <si>
    <t>2000155353</t>
  </si>
  <si>
    <t>2000149530</t>
  </si>
  <si>
    <t>MPS BOY-383</t>
  </si>
  <si>
    <t>15480001594 ALVARO ANTONIO PADILLA GONZALEZ</t>
  </si>
  <si>
    <t>1548017011</t>
  </si>
  <si>
    <t>1902796391</t>
  </si>
  <si>
    <t>5171012397</t>
  </si>
  <si>
    <t>HSRF13923561</t>
  </si>
  <si>
    <t>2000153801</t>
  </si>
  <si>
    <t>2000149528</t>
  </si>
  <si>
    <t>MPS ANT-381</t>
  </si>
  <si>
    <t>05736518634 LIAM MATEUS BARRERA ANGULO</t>
  </si>
  <si>
    <t>1902699473</t>
  </si>
  <si>
    <t>5171014718</t>
  </si>
  <si>
    <t>HSRF13919478</t>
  </si>
  <si>
    <t>05284002416 JOSE DAVID CARVAJAL CARVAJAL</t>
  </si>
  <si>
    <t>528417011</t>
  </si>
  <si>
    <t>1902699468</t>
  </si>
  <si>
    <t>HSRF13919412</t>
  </si>
  <si>
    <t>COMP PAGO JUNIO 2019</t>
  </si>
  <si>
    <t>JSOTO</t>
  </si>
  <si>
    <t>COMPENSACION PAGO EVENTO JUNIO 2019</t>
  </si>
  <si>
    <t>20190626</t>
  </si>
  <si>
    <t>COMP PAGO JUNIO</t>
  </si>
  <si>
    <t>GUAINIA</t>
  </si>
  <si>
    <t>2000153647</t>
  </si>
  <si>
    <t>9400000000</t>
  </si>
  <si>
    <t>2000149531</t>
  </si>
  <si>
    <t>guainia</t>
  </si>
  <si>
    <t>MPS GUA-384</t>
  </si>
  <si>
    <t>94001010421 JUAN CARLOS GONZALEZ HERNANDEZ</t>
  </si>
  <si>
    <t>1902676802</t>
  </si>
  <si>
    <t>5171019186</t>
  </si>
  <si>
    <t>HSRF13912343</t>
  </si>
  <si>
    <t>94001210657 ANGIE ZULAY ROMERO MARIN</t>
  </si>
  <si>
    <t>1902676801</t>
  </si>
  <si>
    <t>HSRF13906881</t>
  </si>
  <si>
    <t>20190625</t>
  </si>
  <si>
    <t>NORTE DE SANTANDER</t>
  </si>
  <si>
    <t>2000153430</t>
  </si>
  <si>
    <t>2000149533</t>
  </si>
  <si>
    <t>MPS NOR-386</t>
  </si>
  <si>
    <t>54001373049 DARWIN FELIPE CARRILLO</t>
  </si>
  <si>
    <t>1902681354</t>
  </si>
  <si>
    <t>5171017525</t>
  </si>
  <si>
    <t>HSRF13899291</t>
  </si>
  <si>
    <t>54001409966 CAMILA SUAREZ HIGUITA</t>
  </si>
  <si>
    <t>1902681347</t>
  </si>
  <si>
    <t>HSRF13894928</t>
  </si>
  <si>
    <t>COMPENSACIÓN EVENTO JUN</t>
  </si>
  <si>
    <t>ESARAVIA</t>
  </si>
  <si>
    <t>COMPENSACIÓN EVENTO JUN/19 NORTE DE SANTANDER</t>
  </si>
  <si>
    <t>20190620</t>
  </si>
  <si>
    <t>MAGDALENA</t>
  </si>
  <si>
    <t>2000153343</t>
  </si>
  <si>
    <t>2000149532</t>
  </si>
  <si>
    <t>MPS MAG-385</t>
  </si>
  <si>
    <t>1902731602</t>
  </si>
  <si>
    <t>5171009995</t>
  </si>
  <si>
    <t>HSRF13890779</t>
  </si>
  <si>
    <t>MPS JUNIO/2019 OP149532</t>
  </si>
  <si>
    <t>MPS JUNIO/2019</t>
  </si>
  <si>
    <t>2000152004</t>
  </si>
  <si>
    <t>2000149535</t>
  </si>
  <si>
    <t>MPS VAL-388</t>
  </si>
  <si>
    <t>76001491476 JESUS DAVID ECHEVERRY URREA</t>
  </si>
  <si>
    <t>1902676790</t>
  </si>
  <si>
    <t>5171011745</t>
  </si>
  <si>
    <t>HSRF13898364</t>
  </si>
  <si>
    <t>COMP MPS VAL JUN 2019</t>
  </si>
  <si>
    <t>20190607</t>
  </si>
  <si>
    <t>MPS VAL JUN 2019</t>
  </si>
  <si>
    <t>EVENTO MAY_2019</t>
  </si>
  <si>
    <t>2000139567</t>
  </si>
  <si>
    <t>2000124611</t>
  </si>
  <si>
    <t>MPS SAN 471</t>
  </si>
  <si>
    <t>68001200398 JACKELINE  ALVAREZ GOMEZ</t>
  </si>
  <si>
    <t>68377392591 KEREN HAPUC PEREIRA CASTAÑO</t>
  </si>
  <si>
    <t>SALDO 13001364670 ESTEFANY MELISSA HURTADO CABALLE</t>
  </si>
  <si>
    <t>54874367850 MARIA GUALDRON LEAL (SALDO MAY/19)</t>
  </si>
  <si>
    <t>1902602838</t>
  </si>
  <si>
    <t>4091006339</t>
  </si>
  <si>
    <t>HSRF13864666</t>
  </si>
  <si>
    <t>70418155244 LUISA FERNANDA ANGULO MARTINEZ</t>
  </si>
  <si>
    <t>7041817011</t>
  </si>
  <si>
    <t>1902118861</t>
  </si>
  <si>
    <t>2141018510</t>
  </si>
  <si>
    <t>HSRF13826406</t>
  </si>
  <si>
    <t>COMPENSACIÓN EVENTO ABR</t>
  </si>
  <si>
    <t>54001062479 WILLIAM  CARVAJAL JAIME (SALDO ABR/19)</t>
  </si>
  <si>
    <t>2000123023</t>
  </si>
  <si>
    <t>2061148936</t>
  </si>
  <si>
    <t>ABONO FACT HSRF13678503</t>
  </si>
  <si>
    <t>SALDO 47001314267 MARIA MERCEDES DAZA MUÑOZ</t>
  </si>
  <si>
    <t>104302569</t>
  </si>
  <si>
    <t>10051140866</t>
  </si>
  <si>
    <t>HSRF13678503</t>
  </si>
  <si>
    <t>CORDOBA</t>
  </si>
  <si>
    <t>2000139566</t>
  </si>
  <si>
    <t>2300000000</t>
  </si>
  <si>
    <t>2000124608</t>
  </si>
  <si>
    <t>cordoba</t>
  </si>
  <si>
    <t>MPS COR 468</t>
  </si>
  <si>
    <t>23-wmartinez Eurek</t>
  </si>
  <si>
    <t>23466118556 LUIS GUSTAVO DIAZ</t>
  </si>
  <si>
    <t>2346617011</t>
  </si>
  <si>
    <t>1902449288</t>
  </si>
  <si>
    <t>4091013689</t>
  </si>
  <si>
    <t>HSRF13878084</t>
  </si>
  <si>
    <t>2000139565</t>
  </si>
  <si>
    <t>2000124609</t>
  </si>
  <si>
    <t>MPS MAG 469</t>
  </si>
  <si>
    <t>ABONO 47001314267 MARIA MERCEDES DAZA MUÑOZ</t>
  </si>
  <si>
    <t>OOROZCO</t>
  </si>
  <si>
    <t>SALDO POR LEGALIZAR EVENTO MAY_2019</t>
  </si>
  <si>
    <t>2000139562</t>
  </si>
  <si>
    <t>2000137574</t>
  </si>
  <si>
    <t>MPS BOL 467</t>
  </si>
  <si>
    <t>ABONO 13001364670 ESTEFANY MELISSA HURTADO CABALLE</t>
  </si>
  <si>
    <t>2000137836</t>
  </si>
  <si>
    <t>2000124610</t>
  </si>
  <si>
    <t>MPS NOR 470</t>
  </si>
  <si>
    <t>54874367850 MARIA GUALDRON LEAL (ABONO MAY/19)</t>
  </si>
  <si>
    <t>54001414904 SAMUEL  RINCON MORALES</t>
  </si>
  <si>
    <t>1902496434</t>
  </si>
  <si>
    <t>HSRF13863544</t>
  </si>
  <si>
    <t>54001414904 SAMUEL RINCON MORALES</t>
  </si>
  <si>
    <t>1902496429</t>
  </si>
  <si>
    <t>HSRF13831860</t>
  </si>
  <si>
    <t>54405389766 PAULA GALILEA GALICIA ORDOÑEZ</t>
  </si>
  <si>
    <t>1902385901</t>
  </si>
  <si>
    <t>HSRF13851738</t>
  </si>
  <si>
    <t>54001339682 EILIN MORALES BARROSO</t>
  </si>
  <si>
    <t>1902385900</t>
  </si>
  <si>
    <t>HSRF13847769</t>
  </si>
  <si>
    <t>1902385892</t>
  </si>
  <si>
    <t>HSRF13841378</t>
  </si>
  <si>
    <t>COMPENSACIÓN EVENTO MAY</t>
  </si>
  <si>
    <t>COMPENSACIÓN EVENTO MAY/19 NORTE DE SANTANDER</t>
  </si>
  <si>
    <t>20190528</t>
  </si>
  <si>
    <t>2000124607</t>
  </si>
  <si>
    <t>SALDO 13001449828 MONICA  TIRADO PIZARRO</t>
  </si>
  <si>
    <t>1902305289</t>
  </si>
  <si>
    <t>2141017887</t>
  </si>
  <si>
    <t>HSRF13824023</t>
  </si>
  <si>
    <t>1902305280</t>
  </si>
  <si>
    <t>HSRF13807965</t>
  </si>
  <si>
    <t>20190527</t>
  </si>
  <si>
    <t>SUCRE</t>
  </si>
  <si>
    <t>2000137391</t>
  </si>
  <si>
    <t>2000124612</t>
  </si>
  <si>
    <t>MPS SUC 472</t>
  </si>
  <si>
    <t>70418017284 ADRIANA MARIA MARTINEZ ACOSTA</t>
  </si>
  <si>
    <t>1902441131</t>
  </si>
  <si>
    <t>4091011052</t>
  </si>
  <si>
    <t>HSRF13876700</t>
  </si>
  <si>
    <t>LEG PAGO EVENT MAYO 2019</t>
  </si>
  <si>
    <t>20190508</t>
  </si>
  <si>
    <t>EVENTO ABR_2019</t>
  </si>
  <si>
    <t>2000109148</t>
  </si>
  <si>
    <t>MPS NOR 280</t>
  </si>
  <si>
    <t>COMPENSACIÓN MAR/19</t>
  </si>
  <si>
    <t>54001062479 WILLIAM  CARVAJAL JAIME (SALDO MAR /19</t>
  </si>
  <si>
    <t>2000105702</t>
  </si>
  <si>
    <t>HSRF13762183</t>
  </si>
  <si>
    <t>COMPENSACIÓN EVENTO ABR/19 NORTE DE SANTANDER</t>
  </si>
  <si>
    <t>20190430</t>
  </si>
  <si>
    <t>2000122659</t>
  </si>
  <si>
    <t>2000109149</t>
  </si>
  <si>
    <t>MPS SAN 281</t>
  </si>
  <si>
    <t>68755346748 RAMIRO  VARGAS PEÑALOZA</t>
  </si>
  <si>
    <t>6875517011</t>
  </si>
  <si>
    <t>1902353618</t>
  </si>
  <si>
    <t>3070937283</t>
  </si>
  <si>
    <t>HSRF13851659</t>
  </si>
  <si>
    <t>68377417932 LENIN ORLANDO IBAÑEZ ESCOBAR</t>
  </si>
  <si>
    <t>1902353612</t>
  </si>
  <si>
    <t>HSRF13845060</t>
  </si>
  <si>
    <t>PAGO MPS ABR 19</t>
  </si>
  <si>
    <t>CESAR</t>
  </si>
  <si>
    <t>2000121669</t>
  </si>
  <si>
    <t>2000000000</t>
  </si>
  <si>
    <t>2000109147</t>
  </si>
  <si>
    <t>cesar</t>
  </si>
  <si>
    <t>MPS CES 279</t>
  </si>
  <si>
    <t>LHINOJOSA</t>
  </si>
  <si>
    <t>20001067872 EMERSON JAIR JIMENEZ MUÑOZ</t>
  </si>
  <si>
    <t>1902360300</t>
  </si>
  <si>
    <t>3070938561</t>
  </si>
  <si>
    <t>HSRF13856064</t>
  </si>
  <si>
    <t>20190405</t>
  </si>
  <si>
    <t>2000121623</t>
  </si>
  <si>
    <t>2000109150</t>
  </si>
  <si>
    <t>MPS SUC 282</t>
  </si>
  <si>
    <t>70001169705 MAICOL ANTONIO MONTES MARQUEZ</t>
  </si>
  <si>
    <t>7000117011</t>
  </si>
  <si>
    <t>1902368511</t>
  </si>
  <si>
    <t>3070935830</t>
  </si>
  <si>
    <t>HSRF13838398</t>
  </si>
  <si>
    <t>1902368481</t>
  </si>
  <si>
    <t>3070934338</t>
  </si>
  <si>
    <t>HSRF13845086</t>
  </si>
  <si>
    <t>LEG PAGO EVENTO ABRIL/19</t>
  </si>
  <si>
    <t>2000121586</t>
  </si>
  <si>
    <t>2000109146</t>
  </si>
  <si>
    <t>MPS BOY 278</t>
  </si>
  <si>
    <t>GCAMILA</t>
  </si>
  <si>
    <t>15135138928 RAFAEL EDUARDO TORRES CASTELBLANCO</t>
  </si>
  <si>
    <t>1513517011</t>
  </si>
  <si>
    <t>1902401920</t>
  </si>
  <si>
    <t>3070933562</t>
  </si>
  <si>
    <t>HSRF13835833</t>
  </si>
  <si>
    <t>2000110784</t>
  </si>
  <si>
    <t>2000109151</t>
  </si>
  <si>
    <t>MPS VAL 283</t>
  </si>
  <si>
    <t>76147622697 LAURA DOREIDY RODRIGUEZ FERRO</t>
  </si>
  <si>
    <t>1902352215</t>
  </si>
  <si>
    <t>3070939305</t>
  </si>
  <si>
    <t>HSRF13845080</t>
  </si>
  <si>
    <t>1902352185</t>
  </si>
  <si>
    <t>HSRF13860581</t>
  </si>
  <si>
    <t>COMP MPS VAL ABR 2019</t>
  </si>
  <si>
    <t>MPS VAL ABR 2019</t>
  </si>
  <si>
    <t>EVENTO MAR_2019</t>
  </si>
  <si>
    <t>2000108759</t>
  </si>
  <si>
    <t>2000096277</t>
  </si>
  <si>
    <t>MPS BOL 77</t>
  </si>
  <si>
    <t>ABONO 13001449828 MONICA  TIRADO PIZARRO</t>
  </si>
  <si>
    <t>13001449828 MONICA  TIRADO PIZARRO</t>
  </si>
  <si>
    <t>1902260033</t>
  </si>
  <si>
    <t>2061146054</t>
  </si>
  <si>
    <t>HSRF13768505</t>
  </si>
  <si>
    <t>13430093479 GABRIEL EDUARDO GUERRA PASCUALES</t>
  </si>
  <si>
    <t>1343017011</t>
  </si>
  <si>
    <t>1902260032</t>
  </si>
  <si>
    <t>HSRF13757960</t>
  </si>
  <si>
    <t>1902260027</t>
  </si>
  <si>
    <t>HSRF13749720</t>
  </si>
  <si>
    <t>1902260061</t>
  </si>
  <si>
    <t>2061125461</t>
  </si>
  <si>
    <t>HSRF13801785</t>
  </si>
  <si>
    <t>1902260058</t>
  </si>
  <si>
    <t>HSRF13788973</t>
  </si>
  <si>
    <t>1902260056</t>
  </si>
  <si>
    <t>HSRF13785262</t>
  </si>
  <si>
    <t>1902260052</t>
  </si>
  <si>
    <t>HSRF13783801</t>
  </si>
  <si>
    <t>20190331</t>
  </si>
  <si>
    <t>2000108757</t>
  </si>
  <si>
    <t>2000097629</t>
  </si>
  <si>
    <t>MPS ANT 1429</t>
  </si>
  <si>
    <t>05-lmendoza Eurek</t>
  </si>
  <si>
    <t>05284002881 BERONICA MARIA ZAPATA CARO</t>
  </si>
  <si>
    <t>1902120404</t>
  </si>
  <si>
    <t>2061138495</t>
  </si>
  <si>
    <t>HSRF13753732</t>
  </si>
  <si>
    <t>2000108754</t>
  </si>
  <si>
    <t>2000096281</t>
  </si>
  <si>
    <t>MPS SAN 81</t>
  </si>
  <si>
    <t>68-jhrodriguez Eurek</t>
  </si>
  <si>
    <t>1902244048</t>
  </si>
  <si>
    <t>2061123160</t>
  </si>
  <si>
    <t>HSRF13799551</t>
  </si>
  <si>
    <t>2000108751</t>
  </si>
  <si>
    <t>2000096278</t>
  </si>
  <si>
    <t>MPS GUA 78</t>
  </si>
  <si>
    <t>REGISTRO ACEPTACION GLOSA</t>
  </si>
  <si>
    <t>ACEPTA EPS GLOS FE HSRF13510512 01/11/2018 C</t>
  </si>
  <si>
    <t>7610917011</t>
  </si>
  <si>
    <t>103884431</t>
  </si>
  <si>
    <t>GL-7693025385877</t>
  </si>
  <si>
    <t>HSRF13510512</t>
  </si>
  <si>
    <t>ACEPTA EPS GLOS FE HSRF13623893 01/11/2018 C</t>
  </si>
  <si>
    <t>6857217011</t>
  </si>
  <si>
    <t>103884434</t>
  </si>
  <si>
    <t>GL-682173380770</t>
  </si>
  <si>
    <t>HSRF13623893</t>
  </si>
  <si>
    <t>ACEPTA EPS GLOS FE HSRF13525049 01/11/2018 C</t>
  </si>
  <si>
    <t>1521817011</t>
  </si>
  <si>
    <t>103884349</t>
  </si>
  <si>
    <t>GL-15068332736</t>
  </si>
  <si>
    <t>HSRF13525049</t>
  </si>
  <si>
    <t>15218079277 KEVIN SANTIAGO DIAZ BOHORQUEZ</t>
  </si>
  <si>
    <t>1901225420</t>
  </si>
  <si>
    <t>8160947879</t>
  </si>
  <si>
    <t>1901273251</t>
  </si>
  <si>
    <t>8160946884</t>
  </si>
  <si>
    <t>HSRF13531013</t>
  </si>
  <si>
    <t>08-lherrera Eurek</t>
  </si>
  <si>
    <t>08421339186 JAIRO JOSE QUINTERO MEDINA</t>
  </si>
  <si>
    <t>842117011</t>
  </si>
  <si>
    <t>1901277055</t>
  </si>
  <si>
    <t>8160936600</t>
  </si>
  <si>
    <t>HSRF13601857</t>
  </si>
  <si>
    <t>1902163743</t>
  </si>
  <si>
    <t>2141021399</t>
  </si>
  <si>
    <t>HSRF13775890</t>
  </si>
  <si>
    <t>1902305285</t>
  </si>
  <si>
    <t>HSRF13823853</t>
  </si>
  <si>
    <t>94001211589 ANA LUCIA STEFENS ARISTIZABAL</t>
  </si>
  <si>
    <t>1902242532</t>
  </si>
  <si>
    <t>2141016735</t>
  </si>
  <si>
    <t>HSRF13807069</t>
  </si>
  <si>
    <t>94001004478 VICTOR HUGO QUEVEDO OCHOA</t>
  </si>
  <si>
    <t>1902242539</t>
  </si>
  <si>
    <t>2061330409</t>
  </si>
  <si>
    <t>HSRF13770840</t>
  </si>
  <si>
    <t>54001339682 MARIELA PEREZ PEREZ</t>
  </si>
  <si>
    <t>1902167846</t>
  </si>
  <si>
    <t>HSRF13647929</t>
  </si>
  <si>
    <t>1902260035</t>
  </si>
  <si>
    <t>HSRF13776730</t>
  </si>
  <si>
    <t>94001223309 ELISA  PIÑEROS PIÑEROS</t>
  </si>
  <si>
    <t>1902242552</t>
  </si>
  <si>
    <t>2061143899</t>
  </si>
  <si>
    <t>HSRF13752276</t>
  </si>
  <si>
    <t>94001236322 RUBEN DARIO STEFENS ROMERO</t>
  </si>
  <si>
    <t>1902242547</t>
  </si>
  <si>
    <t>HSRF13766722</t>
  </si>
  <si>
    <t>47001363944 DILAN YESID ARRIETA GUERRERO</t>
  </si>
  <si>
    <t>1902247723</t>
  </si>
  <si>
    <t>2061142294</t>
  </si>
  <si>
    <t>HSRF13760864</t>
  </si>
  <si>
    <t>05154441976 ANALVIS  BENAVIDES ESPEJO</t>
  </si>
  <si>
    <t>515417011</t>
  </si>
  <si>
    <t>1902120395</t>
  </si>
  <si>
    <t>2061139911</t>
  </si>
  <si>
    <t>HSRF13771921</t>
  </si>
  <si>
    <t>54001339682 EILIN VANESSA MORALES BARROSO</t>
  </si>
  <si>
    <t>1902167557</t>
  </si>
  <si>
    <t>2061127556</t>
  </si>
  <si>
    <t>HSRF13801172</t>
  </si>
  <si>
    <t>54405411214 CRISLY SAMARA GARANTIVA CORDOBA</t>
  </si>
  <si>
    <t>1902167549</t>
  </si>
  <si>
    <t>47-lpinedo Eurek</t>
  </si>
  <si>
    <t>47001402629 ELEIVIS ESTER GONZALEZ DIAZ</t>
  </si>
  <si>
    <t>1902218388</t>
  </si>
  <si>
    <t>2061122389</t>
  </si>
  <si>
    <t>HSRF13789569</t>
  </si>
  <si>
    <t>1902247722</t>
  </si>
  <si>
    <t>2061121234</t>
  </si>
  <si>
    <t>HSRF13783511</t>
  </si>
  <si>
    <t>1551417011</t>
  </si>
  <si>
    <t>08433335090 STEFANY  CASTAÑO GONZALEZ</t>
  </si>
  <si>
    <t>843317011</t>
  </si>
  <si>
    <t>1900154737</t>
  </si>
  <si>
    <t>1181107290</t>
  </si>
  <si>
    <t>HSRF13448463</t>
  </si>
  <si>
    <t>47205401920 DANNY JOSE BARRIOS SALAS</t>
  </si>
  <si>
    <t>813717011</t>
  </si>
  <si>
    <t>1901815617</t>
  </si>
  <si>
    <t>11061131252</t>
  </si>
  <si>
    <t>HSRF13739768</t>
  </si>
  <si>
    <t>08001497531 JOAQUIN ALFREDO GARCIA SANCHEZ</t>
  </si>
  <si>
    <t>800117011</t>
  </si>
  <si>
    <t>1901815611</t>
  </si>
  <si>
    <t>HSRF13726630</t>
  </si>
  <si>
    <t>15185001152 NHORA ELENA ORJUELA RIVERA</t>
  </si>
  <si>
    <t>1518517011</t>
  </si>
  <si>
    <t>1901716008</t>
  </si>
  <si>
    <t>11061127382</t>
  </si>
  <si>
    <t>HSRF13743355</t>
  </si>
  <si>
    <t>08001188347 JHON ALEJANDRO VELEZ RONCANCIO</t>
  </si>
  <si>
    <t>1901631338</t>
  </si>
  <si>
    <t>10051208682</t>
  </si>
  <si>
    <t>HSRF13718519</t>
  </si>
  <si>
    <t>15514081449 MIGUEL ANDRES VALLEJO ROA</t>
  </si>
  <si>
    <t>1901542969</t>
  </si>
  <si>
    <t>10051200254</t>
  </si>
  <si>
    <t>HSRF13710091</t>
  </si>
  <si>
    <t>2000107109</t>
  </si>
  <si>
    <t>2000096279</t>
  </si>
  <si>
    <t>MPS MAG 79</t>
  </si>
  <si>
    <t>MPS MARZO/2019 OP96279</t>
  </si>
  <si>
    <t>20190322</t>
  </si>
  <si>
    <t>MPS MAR/19 96279</t>
  </si>
  <si>
    <t>4700118011</t>
  </si>
  <si>
    <t>1902260847</t>
  </si>
  <si>
    <t>47205214516 JAIRO JOSE MUÑOZ SALAS</t>
  </si>
  <si>
    <t>4720517011</t>
  </si>
  <si>
    <t>1900342155</t>
  </si>
  <si>
    <t>1181109326</t>
  </si>
  <si>
    <t>HSRF13455539</t>
  </si>
  <si>
    <t>COMPENSACION MPS ATL-76</t>
  </si>
  <si>
    <t>JDELAROSA</t>
  </si>
  <si>
    <t>COMPENSACION MPS ATL 76 MARZO_2019</t>
  </si>
  <si>
    <t>2000106948</t>
  </si>
  <si>
    <t>ATLANTICO</t>
  </si>
  <si>
    <t>807817011</t>
  </si>
  <si>
    <t>2000096276</t>
  </si>
  <si>
    <t>MPS ATL 76</t>
  </si>
  <si>
    <t>08078200186 CLAUDIA ESPERANZA GONZALEZ</t>
  </si>
  <si>
    <t>1902184791</t>
  </si>
  <si>
    <t>2061141528</t>
  </si>
  <si>
    <t>HSRF13763749</t>
  </si>
  <si>
    <t>2000096280</t>
  </si>
  <si>
    <t>MPS NOR 80</t>
  </si>
  <si>
    <t>54498213921 MARIELA  PEREZ PEREZ</t>
  </si>
  <si>
    <t>5449817011</t>
  </si>
  <si>
    <t>1902167862</t>
  </si>
  <si>
    <t>HSRF13773087</t>
  </si>
  <si>
    <t>1902167860</t>
  </si>
  <si>
    <t>HSRF13766818</t>
  </si>
  <si>
    <t>1902167858</t>
  </si>
  <si>
    <t>HSRF13764423</t>
  </si>
  <si>
    <t>54001062479 WILLIAM  CARVAJAL JAIMES</t>
  </si>
  <si>
    <t>1902167856</t>
  </si>
  <si>
    <t>SALDO COMP PAGO FEB 2019</t>
  </si>
  <si>
    <t>1902167852</t>
  </si>
  <si>
    <t>HSRF13758251</t>
  </si>
  <si>
    <t>ABONO COMP PAGO FEB 2019</t>
  </si>
  <si>
    <t>1902167850</t>
  </si>
  <si>
    <t>HSRF13758241</t>
  </si>
  <si>
    <t>1902167848</t>
  </si>
  <si>
    <t>HSRF13751277</t>
  </si>
  <si>
    <t>54498213921 MARIELA PEREZ PEREZ</t>
  </si>
  <si>
    <t>1902167840</t>
  </si>
  <si>
    <t>HSRF13792738</t>
  </si>
  <si>
    <t>54405391069 JAIME  ACEVEDO ALARCON</t>
  </si>
  <si>
    <t>1902167566</t>
  </si>
  <si>
    <t>COMPENSACIÓN MAR/19 NORTE DE SANTANDER</t>
  </si>
  <si>
    <t>20190315</t>
  </si>
  <si>
    <t>EVENTO FEB_2019</t>
  </si>
  <si>
    <t>2000094308</t>
  </si>
  <si>
    <t>2000084246</t>
  </si>
  <si>
    <t>MPS ANT-1583</t>
  </si>
  <si>
    <t>05-kmarquez Eurek</t>
  </si>
  <si>
    <t>05154502905 VALERIA SOFIA RIOS CORREA</t>
  </si>
  <si>
    <t>1900908972</t>
  </si>
  <si>
    <t>6061012102</t>
  </si>
  <si>
    <t>HSRF13590426</t>
  </si>
  <si>
    <t>05604290503 JUAN CAMILO ABELLO ROJAS</t>
  </si>
  <si>
    <t>560417011</t>
  </si>
  <si>
    <t>1900908968</t>
  </si>
  <si>
    <t>HSRF13577635</t>
  </si>
  <si>
    <t>05154277432 MARIA GARETI JEREZ VILORIA</t>
  </si>
  <si>
    <t>1900908983</t>
  </si>
  <si>
    <t>6060959461</t>
  </si>
  <si>
    <t>HSRF13498380</t>
  </si>
  <si>
    <t>05887490162 MARIA PAULA RODRIGUEZ VARGAS</t>
  </si>
  <si>
    <t>588717011</t>
  </si>
  <si>
    <t>1900908979</t>
  </si>
  <si>
    <t>HSRF13490143</t>
  </si>
  <si>
    <t>05031314087 YUDI MARCELA OSORIO PEREZ</t>
  </si>
  <si>
    <t>503117011</t>
  </si>
  <si>
    <t>1900908976</t>
  </si>
  <si>
    <t>HSRF13489345</t>
  </si>
  <si>
    <t>05154501494 VANESSA  OCAMPO SILVA</t>
  </si>
  <si>
    <t>1900908951</t>
  </si>
  <si>
    <t>6060951574</t>
  </si>
  <si>
    <t>HSRF13505209</t>
  </si>
  <si>
    <t>20190222</t>
  </si>
  <si>
    <t>2000094307</t>
  </si>
  <si>
    <t>2000084249</t>
  </si>
  <si>
    <t>MPS SAN-1586</t>
  </si>
  <si>
    <t>68615001187 DIOSA ESTER CARVAJAL GARNICA</t>
  </si>
  <si>
    <t>1901291548</t>
  </si>
  <si>
    <t>8160955409</t>
  </si>
  <si>
    <t>HSRF13644718</t>
  </si>
  <si>
    <t>1901291544</t>
  </si>
  <si>
    <t>HSRF13642496</t>
  </si>
  <si>
    <t>68895374031 JHOAN DAVID SUAREZ RODRIGUEZ</t>
  </si>
  <si>
    <t>6889517011</t>
  </si>
  <si>
    <t>1901291540</t>
  </si>
  <si>
    <t>HSRF13628621</t>
  </si>
  <si>
    <t>68572003678 NANCY YAMID BOHORQUEZ TORRES</t>
  </si>
  <si>
    <t>1901291536</t>
  </si>
  <si>
    <t>1901291431</t>
  </si>
  <si>
    <t>8160945741</t>
  </si>
  <si>
    <t>HSRF13531183</t>
  </si>
  <si>
    <t>68895086015 DOMINGO ANTONIO SUAREZ CARREÑO</t>
  </si>
  <si>
    <t>1901291425</t>
  </si>
  <si>
    <t>HSRF13529665</t>
  </si>
  <si>
    <t>68307147843 LISETH JULIANA MEJIA SIERRA</t>
  </si>
  <si>
    <t>1901291565</t>
  </si>
  <si>
    <t>8160935128</t>
  </si>
  <si>
    <t>HSRF13603556</t>
  </si>
  <si>
    <t>1901015082</t>
  </si>
  <si>
    <t>6061003129</t>
  </si>
  <si>
    <t>HSRF13568934</t>
  </si>
  <si>
    <t>1901015074</t>
  </si>
  <si>
    <t>HSRF13562164</t>
  </si>
  <si>
    <t>68271256334 LUISA FERNANDA PEÑA PINEDA</t>
  </si>
  <si>
    <t>6827117011</t>
  </si>
  <si>
    <t>1901073894</t>
  </si>
  <si>
    <t>6060954175</t>
  </si>
  <si>
    <t>HSRF13490527</t>
  </si>
  <si>
    <t>1901073880</t>
  </si>
  <si>
    <t>HSRF13485374</t>
  </si>
  <si>
    <t>68-jmurcia Eurek</t>
  </si>
  <si>
    <t>68377399953 JHOAN MATHIAS MORENO PEREITA</t>
  </si>
  <si>
    <t>1900964930</t>
  </si>
  <si>
    <t>6060946205</t>
  </si>
  <si>
    <t>HSRF13553508</t>
  </si>
  <si>
    <t>68397247100 ROSA MARIA FLOREZ CAÑAS</t>
  </si>
  <si>
    <t>1900964869</t>
  </si>
  <si>
    <t>HSRF13553124</t>
  </si>
  <si>
    <t>68895346459 CRISTIAN FERNEY SUAREZ RODRIGUEZ</t>
  </si>
  <si>
    <t>1900964863</t>
  </si>
  <si>
    <t>HSRF13541610</t>
  </si>
  <si>
    <t>68190001943 ELIZABETH  SANTAMARIA PEÑA</t>
  </si>
  <si>
    <t>6819017011</t>
  </si>
  <si>
    <t>1900251309</t>
  </si>
  <si>
    <t>1181110144</t>
  </si>
  <si>
    <t>HSRF13441755</t>
  </si>
  <si>
    <t>68001391657 GERSON LEONARDO NARANJO ROSERO</t>
  </si>
  <si>
    <t>1901794370</t>
  </si>
  <si>
    <t>11061129533</t>
  </si>
  <si>
    <t>68001314098 YULY STEFANNY CORTES BORRERO</t>
  </si>
  <si>
    <t>1901652478</t>
  </si>
  <si>
    <t>10051201761</t>
  </si>
  <si>
    <t>HSRF13718505</t>
  </si>
  <si>
    <t>2000094218</t>
  </si>
  <si>
    <t>2000084248</t>
  </si>
  <si>
    <t>MPS NOR-1585</t>
  </si>
  <si>
    <t>COMPENSACIÓN FEB/19</t>
  </si>
  <si>
    <t>COMPENSACIÓN FEB/19 NORTE DE SANTANDER</t>
  </si>
  <si>
    <t>20190221</t>
  </si>
  <si>
    <t>1901808306</t>
  </si>
  <si>
    <t>11061123594</t>
  </si>
  <si>
    <t>HSRF13643274</t>
  </si>
  <si>
    <t>1901808290</t>
  </si>
  <si>
    <t>HSRF13747849</t>
  </si>
  <si>
    <t>1901808286</t>
  </si>
  <si>
    <t>HSRF13746644</t>
  </si>
  <si>
    <t>1901808283</t>
  </si>
  <si>
    <t>HSRF13743484</t>
  </si>
  <si>
    <t>1901808278</t>
  </si>
  <si>
    <t>HSRF13742956</t>
  </si>
  <si>
    <t>1901808274</t>
  </si>
  <si>
    <t>HSRF13742496</t>
  </si>
  <si>
    <t>1901808272</t>
  </si>
  <si>
    <t>HSRF13741043</t>
  </si>
  <si>
    <t>1901808269</t>
  </si>
  <si>
    <t>HSRF13735600</t>
  </si>
  <si>
    <t>1901808266</t>
  </si>
  <si>
    <t>HSRF13735028</t>
  </si>
  <si>
    <t>1901808258</t>
  </si>
  <si>
    <t>HSRF13733259</t>
  </si>
  <si>
    <t>1901808251</t>
  </si>
  <si>
    <t>HSRF13730567</t>
  </si>
  <si>
    <t>1901808245</t>
  </si>
  <si>
    <t>HSRF13722155</t>
  </si>
  <si>
    <t>COMPENSACIÓN DIC/18</t>
  </si>
  <si>
    <t>AAMARIS</t>
  </si>
  <si>
    <t>54001339682 EILIN VANESSA MORALES (SALDO DIC/18)</t>
  </si>
  <si>
    <t>2000069164</t>
  </si>
  <si>
    <t>10051137676</t>
  </si>
  <si>
    <t>HSRF13679446</t>
  </si>
  <si>
    <t>2000086858</t>
  </si>
  <si>
    <t>2000084250</t>
  </si>
  <si>
    <t>MPS VAL-1587</t>
  </si>
  <si>
    <t>76-isolarte Eurek</t>
  </si>
  <si>
    <t>76147428445 LUZ AMPARO CASTAÑEDA LOPEZ</t>
  </si>
  <si>
    <t>1901220243</t>
  </si>
  <si>
    <t>8160958473</t>
  </si>
  <si>
    <t>HSRF13637003</t>
  </si>
  <si>
    <t>76001606880 PLINIO RIVERA DIAZ</t>
  </si>
  <si>
    <t>1901249137</t>
  </si>
  <si>
    <t>8160943458</t>
  </si>
  <si>
    <t>HSRF13524462</t>
  </si>
  <si>
    <t>76109246925 ORLANDO  VALENCIA CASTIBLANCO</t>
  </si>
  <si>
    <t>1901237443</t>
  </si>
  <si>
    <t>8160942656</t>
  </si>
  <si>
    <t>76109277018 MARIA LILIANA ARIAS</t>
  </si>
  <si>
    <t>1901237424</t>
  </si>
  <si>
    <t>HSRF13507063</t>
  </si>
  <si>
    <t>76001606880 PLINIO ANDERSON RIVERA DIAZ</t>
  </si>
  <si>
    <t>1901237418</t>
  </si>
  <si>
    <t>HSRF13510614</t>
  </si>
  <si>
    <t>76895476736 JUAN ESTEBAN MUÑOZ MENA</t>
  </si>
  <si>
    <t>7689517011</t>
  </si>
  <si>
    <t>1901237410</t>
  </si>
  <si>
    <t>HSRF13522742</t>
  </si>
  <si>
    <t>76622072010 CRISTHIAN HOYOS BUITRAGO</t>
  </si>
  <si>
    <t>1901249082</t>
  </si>
  <si>
    <t>8160934281</t>
  </si>
  <si>
    <t>HSRF13611177</t>
  </si>
  <si>
    <t>76233343796 ANA VELEZ</t>
  </si>
  <si>
    <t>7623317011</t>
  </si>
  <si>
    <t>1901051387</t>
  </si>
  <si>
    <t>6061014485</t>
  </si>
  <si>
    <t>HSRF13473786</t>
  </si>
  <si>
    <t>76-narboleda Eurek</t>
  </si>
  <si>
    <t>76895617913 ALEX MUÑOZ MENA</t>
  </si>
  <si>
    <t>1901014037</t>
  </si>
  <si>
    <t>6060956649</t>
  </si>
  <si>
    <t>HSRF13486932</t>
  </si>
  <si>
    <t>76622072665 GLORIA MOSQUERA RIVERA</t>
  </si>
  <si>
    <t>1901014028</t>
  </si>
  <si>
    <t>HSRF13489274</t>
  </si>
  <si>
    <t>1901014014</t>
  </si>
  <si>
    <t>HSRF13491205</t>
  </si>
  <si>
    <t>76895476736 JUAN MUÑOZ MENA</t>
  </si>
  <si>
    <t>1901014849</t>
  </si>
  <si>
    <t>6060943689</t>
  </si>
  <si>
    <t>HSRF13561344</t>
  </si>
  <si>
    <t>1901014835</t>
  </si>
  <si>
    <t>HSRF13558966</t>
  </si>
  <si>
    <t>1901014824</t>
  </si>
  <si>
    <t>HSRF13554876</t>
  </si>
  <si>
    <t>1901014811</t>
  </si>
  <si>
    <t>HSRF13549009</t>
  </si>
  <si>
    <t>1901014797</t>
  </si>
  <si>
    <t>HSRF13544969</t>
  </si>
  <si>
    <t>76147353205 VALERIA VARGAS OCAMPO</t>
  </si>
  <si>
    <t>1900528330</t>
  </si>
  <si>
    <t>2051232613</t>
  </si>
  <si>
    <t>HSRF13478068</t>
  </si>
  <si>
    <t>COMP MPS VAL FEB 2019</t>
  </si>
  <si>
    <t>20190207</t>
  </si>
  <si>
    <t>MPS VAL FEB 2019</t>
  </si>
  <si>
    <t>76-dcasilimas Eurek</t>
  </si>
  <si>
    <t>1900382886</t>
  </si>
  <si>
    <t>1181120953</t>
  </si>
  <si>
    <t>HSRF13425078</t>
  </si>
  <si>
    <t>76147428444 BRAYAN EDUARDO GOMEZ CASTAÑEDA</t>
  </si>
  <si>
    <t>1900383047</t>
  </si>
  <si>
    <t>1181116950</t>
  </si>
  <si>
    <t>HSRF13452584</t>
  </si>
  <si>
    <t>76895617913 ALEX  MUÑOZ MENA</t>
  </si>
  <si>
    <t>1900383044</t>
  </si>
  <si>
    <t>HSRF13441801</t>
  </si>
  <si>
    <t>76147578442 ELIZABETH  BARCO DE MARTINEZ</t>
  </si>
  <si>
    <t>1900383037</t>
  </si>
  <si>
    <t>HSRF13441463</t>
  </si>
  <si>
    <t>76001035340 ALEXANDER  MARIN PINEDA</t>
  </si>
  <si>
    <t>1900383032</t>
  </si>
  <si>
    <t>HSRF13431321</t>
  </si>
  <si>
    <t>76001564262 HEIDY OLAVE CORTES</t>
  </si>
  <si>
    <t>1901627067</t>
  </si>
  <si>
    <t>11061135802</t>
  </si>
  <si>
    <t>HSRF13709568</t>
  </si>
  <si>
    <t>1901627059</t>
  </si>
  <si>
    <t>HSRF13737086</t>
  </si>
  <si>
    <t>76001590882 JHON STEVAN OLAVE CORTES</t>
  </si>
  <si>
    <t>1901498207</t>
  </si>
  <si>
    <t>10051158718</t>
  </si>
  <si>
    <t>HSRF13701891</t>
  </si>
  <si>
    <t>1901498201</t>
  </si>
  <si>
    <t>HSRF13702614</t>
  </si>
  <si>
    <t>2000086554</t>
  </si>
  <si>
    <t>2000084247</t>
  </si>
  <si>
    <t>MPS BOL-1584</t>
  </si>
  <si>
    <t>1901346586</t>
  </si>
  <si>
    <t>8160957167</t>
  </si>
  <si>
    <t>HSRF13647775</t>
  </si>
  <si>
    <t>1901346582</t>
  </si>
  <si>
    <t>HSRF13641495</t>
  </si>
  <si>
    <t>1901373070</t>
  </si>
  <si>
    <t>81609320690</t>
  </si>
  <si>
    <t>HSRF13617709</t>
  </si>
  <si>
    <t>13430097045 BIENVENIDA  MENCO PADILLA</t>
  </si>
  <si>
    <t>1901373066</t>
  </si>
  <si>
    <t>HSRF13610644</t>
  </si>
  <si>
    <t>1901373063</t>
  </si>
  <si>
    <t>HSRF13609907</t>
  </si>
  <si>
    <t>1901373058</t>
  </si>
  <si>
    <t>HSRF13603877</t>
  </si>
  <si>
    <t>1901373056</t>
  </si>
  <si>
    <t>HSRF13601408</t>
  </si>
  <si>
    <t>13001044639 GREGORIO  GOMEZ LLERENA</t>
  </si>
  <si>
    <t>1901051834</t>
  </si>
  <si>
    <t>6060941196</t>
  </si>
  <si>
    <t>HSRF13552094</t>
  </si>
  <si>
    <t>20190213</t>
  </si>
  <si>
    <t>1901736398</t>
  </si>
  <si>
    <t>11061137500</t>
  </si>
  <si>
    <t>HSRF13739506</t>
  </si>
  <si>
    <t>13001122009 OSWALDO  MURILLO GOMEZ</t>
  </si>
  <si>
    <t>1901736391</t>
  </si>
  <si>
    <t>HSRF13641271</t>
  </si>
  <si>
    <t>1901736306</t>
  </si>
  <si>
    <t>HSRF13733613</t>
  </si>
  <si>
    <t>1901736299</t>
  </si>
  <si>
    <t>HSRF13641285</t>
  </si>
  <si>
    <t>13001169167 EDERSON JOSE MENDOZA LOPEZ</t>
  </si>
  <si>
    <t>1901736282</t>
  </si>
  <si>
    <t>HSRF13641269</t>
  </si>
  <si>
    <t>1901753850</t>
  </si>
  <si>
    <t>10051156775</t>
  </si>
  <si>
    <t>HSRF13707682</t>
  </si>
  <si>
    <t>1901753843</t>
  </si>
  <si>
    <t>HSRF13702301</t>
  </si>
  <si>
    <t>1901753834</t>
  </si>
  <si>
    <t>HSRF13689435</t>
  </si>
  <si>
    <t>1901753828</t>
  </si>
  <si>
    <t>HSRF13688026</t>
  </si>
  <si>
    <t>EVENTO DIC_2018</t>
  </si>
  <si>
    <t>2000066412</t>
  </si>
  <si>
    <t>MPS NOR</t>
  </si>
  <si>
    <t>1901227900</t>
  </si>
  <si>
    <t>8160953810</t>
  </si>
  <si>
    <t>HSRF13653738</t>
  </si>
  <si>
    <t>1901227898</t>
  </si>
  <si>
    <t>HSRF13651770</t>
  </si>
  <si>
    <t>1901227895</t>
  </si>
  <si>
    <t>HSRF13635666</t>
  </si>
  <si>
    <t>1901227893</t>
  </si>
  <si>
    <t>HSRF13630098</t>
  </si>
  <si>
    <t>1901227890</t>
  </si>
  <si>
    <t>HSRF13629535</t>
  </si>
  <si>
    <t>1901204503</t>
  </si>
  <si>
    <t>8160929282</t>
  </si>
  <si>
    <t>HSRF13617384</t>
  </si>
  <si>
    <t>1901204493</t>
  </si>
  <si>
    <t>HSRF13617324</t>
  </si>
  <si>
    <t>1901204481</t>
  </si>
  <si>
    <t>HSRF13615140</t>
  </si>
  <si>
    <t>1901204472</t>
  </si>
  <si>
    <t>HSRF13606881</t>
  </si>
  <si>
    <t>1901204464</t>
  </si>
  <si>
    <t>HSRF13604294</t>
  </si>
  <si>
    <t>1901204458</t>
  </si>
  <si>
    <t>HSRF13601153</t>
  </si>
  <si>
    <t>1901204451</t>
  </si>
  <si>
    <t>HSRF13595937</t>
  </si>
  <si>
    <t>1900867533</t>
  </si>
  <si>
    <t>6061010700</t>
  </si>
  <si>
    <t>HSRF13592246</t>
  </si>
  <si>
    <t>54874361825 CARMEN CECILIA TOLOZA GUEVARA</t>
  </si>
  <si>
    <t>1900867623</t>
  </si>
  <si>
    <t>6061008575</t>
  </si>
  <si>
    <t>HSRF13585331</t>
  </si>
  <si>
    <t>1900868166</t>
  </si>
  <si>
    <t>6061007264</t>
  </si>
  <si>
    <t>HSRF13578051</t>
  </si>
  <si>
    <t>1900867669</t>
  </si>
  <si>
    <t>HSRF13571376</t>
  </si>
  <si>
    <t>1900867663</t>
  </si>
  <si>
    <t>HSRF13566949</t>
  </si>
  <si>
    <t>1900865278</t>
  </si>
  <si>
    <t>6060948255</t>
  </si>
  <si>
    <t>HSRF13559360</t>
  </si>
  <si>
    <t>1900865276</t>
  </si>
  <si>
    <t>HSRF13557953</t>
  </si>
  <si>
    <t>1900865275</t>
  </si>
  <si>
    <t>HSRF13554517</t>
  </si>
  <si>
    <t>1900865272</t>
  </si>
  <si>
    <t>HSRF13546518</t>
  </si>
  <si>
    <t>1900865270</t>
  </si>
  <si>
    <t>HSRF13545646</t>
  </si>
  <si>
    <t>1900865268</t>
  </si>
  <si>
    <t>HSRF13544021</t>
  </si>
  <si>
    <t>1900865266</t>
  </si>
  <si>
    <t>HSRF13537950</t>
  </si>
  <si>
    <t>1900865264</t>
  </si>
  <si>
    <t>HSRF13534577</t>
  </si>
  <si>
    <t>COMPENSACIÓN DICIEMBRE 2018 NORTE DE SANTANDER</t>
  </si>
  <si>
    <t>20181219</t>
  </si>
  <si>
    <t>1901557875</t>
  </si>
  <si>
    <t>10051153025</t>
  </si>
  <si>
    <t>HSRF13717021</t>
  </si>
  <si>
    <t>1901558249</t>
  </si>
  <si>
    <t>10051151358</t>
  </si>
  <si>
    <t>HSRF13712902</t>
  </si>
  <si>
    <t>1901558247</t>
  </si>
  <si>
    <t>HSRF13712865</t>
  </si>
  <si>
    <t>1901558245</t>
  </si>
  <si>
    <t>HSRF13712709</t>
  </si>
  <si>
    <t>1901558243</t>
  </si>
  <si>
    <t>HSRF13712439</t>
  </si>
  <si>
    <t>1901558240</t>
  </si>
  <si>
    <t>HSRF13700799</t>
  </si>
  <si>
    <t>1901558237</t>
  </si>
  <si>
    <t>HSRF13700508</t>
  </si>
  <si>
    <t>1901558235</t>
  </si>
  <si>
    <t>HSRF13697499</t>
  </si>
  <si>
    <t>1901558230</t>
  </si>
  <si>
    <t>HSRF13691156</t>
  </si>
  <si>
    <t>1901558228</t>
  </si>
  <si>
    <t>HSRF13687807</t>
  </si>
  <si>
    <t>1901558393</t>
  </si>
  <si>
    <t>1901558391</t>
  </si>
  <si>
    <t>HSRF13679401</t>
  </si>
  <si>
    <t>1901558390</t>
  </si>
  <si>
    <t>HSRF13675815</t>
  </si>
  <si>
    <t>1901558388</t>
  </si>
  <si>
    <t>HSRF13669571</t>
  </si>
  <si>
    <t>1901558387</t>
  </si>
  <si>
    <t>HSRF13660134</t>
  </si>
  <si>
    <t>1903329982</t>
  </si>
  <si>
    <t>47268222039 DIANA PATRICIA DEL TORO LANDETA</t>
  </si>
  <si>
    <t>1903730023</t>
  </si>
  <si>
    <t>54874367850 MARIA GUALDRON LEAL</t>
  </si>
  <si>
    <t>1902496440</t>
  </si>
  <si>
    <t>ABONO A FACT CON PAGO EVENTO MAYO/19 NORTE SDER</t>
  </si>
  <si>
    <t>47001314267 MARIA MERCEDES DAZA MUÑOZ</t>
  </si>
  <si>
    <t>1901563972</t>
  </si>
  <si>
    <t>SALDO COMP PAGO MAR 2020</t>
  </si>
  <si>
    <t>54001325071 LUIS ROJAS DAZA</t>
  </si>
  <si>
    <t>1903244139</t>
  </si>
  <si>
    <t>HSRF13987467</t>
  </si>
  <si>
    <t>ABONO FE HSRF13987467 54001325071 LUIS ROJAS DAZA</t>
  </si>
  <si>
    <t>ABONO FE HSRF14017815 25307119034 MARLY JULIETH CO</t>
  </si>
  <si>
    <t>1903226568</t>
  </si>
  <si>
    <t>HSRF14010076</t>
  </si>
  <si>
    <t>REGISTRO ACEPTACION DE GLOSA IPS C</t>
  </si>
  <si>
    <t>104365145</t>
  </si>
  <si>
    <t>20190627</t>
  </si>
  <si>
    <t>GLOSA INICIAL GL-5492756330976</t>
  </si>
  <si>
    <t>GLOSA INICIAL GL-549299935772</t>
  </si>
  <si>
    <t>REGISTRO ACEPTACION DE GLOSA EPS C</t>
  </si>
  <si>
    <t>GLOSA INICIAL GL-549299935781</t>
  </si>
  <si>
    <t>104365142</t>
  </si>
  <si>
    <t>GLOSA INICIAL GL-689251635877</t>
  </si>
  <si>
    <t>GLOSA INICIAL GL-549299935783</t>
  </si>
  <si>
    <t>REGISTRO ACEPTACION DE GLOSA C</t>
  </si>
  <si>
    <t>GLOSA INICIAL GL-682173380770</t>
  </si>
  <si>
    <t>20181231</t>
  </si>
  <si>
    <t>GLOSA INICIAL GL-7693025385877</t>
  </si>
  <si>
    <t>GLOSA INICIAL GL-15068332736</t>
  </si>
  <si>
    <t>2000289469 - 2000299817</t>
  </si>
  <si>
    <t>2000289506 - 2000324561</t>
  </si>
  <si>
    <t>2000289501 - 2000299817</t>
  </si>
  <si>
    <t>2000289452 - 2000299817</t>
  </si>
  <si>
    <t>2000283255 - 2000324561 - 2000324562</t>
  </si>
  <si>
    <t>2000289496 - 2000324561</t>
  </si>
  <si>
    <t>2000299817 - 2000324561</t>
  </si>
  <si>
    <t>EVENTO JUN_2019 - santander</t>
  </si>
  <si>
    <t>EVENTO MAR_2020 - antioquia</t>
  </si>
  <si>
    <t>EVENTO MAR_2020 - atlantico</t>
  </si>
  <si>
    <t>EVENTO MAR_2020 - cundinamarca</t>
  </si>
  <si>
    <t>EVENTO MAR_2020 - norte de santander</t>
  </si>
  <si>
    <t>EVENTO ABR_2020 - cundinamarca</t>
  </si>
  <si>
    <t>EVENTO - DESENCAJE RESERVAS TECNICAS - cundinamarca</t>
  </si>
  <si>
    <t>EVENTO MAY_2020 SUBSIDIADO - bogota</t>
  </si>
  <si>
    <t>EVENTO - DESENCAJE RESERVAS TECNICAS - cundinamarca -- EVENTO - DESENCAJE RESERVAS TECNICAS - cundinamarca</t>
  </si>
  <si>
    <t>EVENTO MAR_2020 - antioquia - - EVENTO ABR_2020 - cundinamarca</t>
  </si>
  <si>
    <t>EVENTO MAR_2020 - Santander --    EVENTO - DESENCAJE RESERVAS TECNICAS - cundinamarca --     EVENTO MAY_2020 SUBSIDIADO - bogota</t>
  </si>
  <si>
    <t>EVENTO MAR_2020 - Bolivar -- EVENTO - DESENCAJE RESERVAS TECNICAS - cundinamarca</t>
  </si>
  <si>
    <t>EVENTO ABR_2020 - cundinamarca   - ---    EVENTO - DESENCAJE RESERVAS TECNICAS - cundinamarca</t>
  </si>
  <si>
    <t>EVENTO MAR_2020 - atlantico  ---  EVENTO ABR_2020 - cundinamarca</t>
  </si>
  <si>
    <t>IPS ACEPTA GLOSA ATENCION NO FACTURABLE. SE LEVANTA DIFERENCIA SOPORTADA.. (70% DE LO GLOSADO)</t>
  </si>
  <si>
    <t>EVENTO MAR_2020 - cundinamarca - - EVENTO ABR_2020 - cundinamarca ------ ACEPTA EPS GLOS FE HSRF14017815 02/01/2020 C</t>
  </si>
  <si>
    <t xml:space="preserve">SE HACE DEVOLUCION DE LA FACTURA CON SUS RESPECTIVOS SOPORTES, LA IPS  NO ADJUNTA EL REPORTE DEL PRE-RADICADO DEL CARGUE EXITOSO DE LOS RIPS, DE ACUERDO AL DIRECCIONAMIENTO DE COOSALUD EPSS.  POR FAVOR REALIZAR LAS RESPECTIVAS CORRECCIONES Y UNA VEZ SUBSANE ENVIAR PARA CONTINUAR CON EL PROCESO DE AUDITORIA  Y ADJUNTAR NUEVAMENTE LOS RIPS CORRESPONDIENTE A LA FACTURA.   </t>
  </si>
  <si>
    <t>Factura no cumple requisitos legales</t>
  </si>
  <si>
    <t>Mancera Estupiñan Manuel Ernesto</t>
  </si>
  <si>
    <t>EMPRESA SOCIAL DEL ESTADO HOSPITAL SAN RAFAEL DE FUSAGASUGA</t>
  </si>
  <si>
    <t>DF-949307739997</t>
  </si>
  <si>
    <t>HSRF0013309108</t>
  </si>
  <si>
    <t xml:space="preserve">SE HACE DEVOLUCION DE LA FACTURA CON SUS RESEPCTIVOS SOPORTES, DEBIDO QUE SE ENCUENTRA ILEGLIBLE. POR FAVOR REALIZAR LAS RESPECTIVAS CORRECCIONES Y UNA VEZ SUBSANE ENVIAR PARA CONTINUAR CON EL PROCESO DE AUDITORIA  Y ADJUNTAR NUEVAMENTE LOS RIPS CORRESPONDIENTE A LA FACTURA.   </t>
  </si>
  <si>
    <t>DF-949307739402</t>
  </si>
  <si>
    <t xml:space="preserve">SE HACE DEVOLUCIÓN DE LA CUENTA YA QUE FACTURA NO SE ENCUENTRA INCLUIDA EN EL MEDIO MAGNÉTICO RIPS QUE ESTÁN PRESENTANDO,POR FAVOR REALIZAR LAS RESPECTIVAS CORRECCIONES Y UNA VEZ SUBSANE ENVIAR PARA CONTINUAR CON EL PROCESO DE RADICACIÓN.  </t>
  </si>
  <si>
    <t>DF-949307739054</t>
  </si>
  <si>
    <t>DF-949307739053</t>
  </si>
  <si>
    <t>HSRF0013359576</t>
  </si>
  <si>
    <t>SE HACE DEVOLUCION DE LA FACTURA Y SUS RESPECTIVOS SOPORTES, NO ADJUNTAN MEDIO MAGNETICO DE LOS RIPS QUE PERMITA VALIDAR LA INFORMACION REGISTRADA, POR LO QUE SE SOLICITA LOS RIPS PARA CONTTINUAR EL PROCESO DE RADICACION Y AUITORIA MEDICA, SE LES RECUERDA TODA DEVOLUCION EFECTUADA DE SE ANEXAR EL MEDIO MAGNETICO CON SUS RESPECTIVOS RIPS.</t>
  </si>
  <si>
    <t>DF-949307738862</t>
  </si>
  <si>
    <t>HSRF0013349575</t>
  </si>
  <si>
    <t>SE HACE DEVOLCUION DE LA FACTURA Y SUS RESPECTIVOS SOPORTES, NO ADJUNTAN MEDIO MAGNETICO DE LOS RIPS QUE PERMITA VALIDAR LA INFORMACION REGISTRADA, POR LO QUE SE SOLICITA LOS RIPS PARA CONTTINUAR EL PROCESO DE RADICACION Y AUITORIA MEDICA, SE LES RECUERDA TODA DEVOLUCION EFECTUDA DE SE ANEXAR EL MEDIO MAGNETICO CON SUS RESPECTIVOS RIPS.</t>
  </si>
  <si>
    <t>DF-949307738861</t>
  </si>
  <si>
    <t>HSRF0012998657</t>
  </si>
  <si>
    <t>SE HACE DEVOLUCION DE LA FACTURA CON SUS RESPECTIVOS SOPORTES DE ACUERDO AL DF05923233191, LA CUAL SE LES INFORMA QUE EL SERVICIO FUE NEGADO CON EL CODIGO 04257376 POR PARTE DE LA EPSS COOSALUD.</t>
  </si>
  <si>
    <t>DF-9493077310512</t>
  </si>
  <si>
    <t>HSRF14112238</t>
  </si>
  <si>
    <t>SE HACE DEVOLUCION DE LA FACTURA CON SUS RESPECTIVOS SOPORTES, DE ACUERDO A LA DIRECTRIZ DE COOSALUD A NIVEL NACIONAL LAS IPS DEBEN PRESENTAR POR SEPRADO LA FACTURACION POR LOS SERVICIOS DE ATENCION INICIAL DE URGENCIAS Y SI EL USUARIO ES HOSPITALIZADO SE DEBERA PRESENTAR FACTURA  A PARTE.</t>
  </si>
  <si>
    <t>DF-9493077310195</t>
  </si>
  <si>
    <t>HSRF14029711</t>
  </si>
  <si>
    <t xml:space="preserve">SE HACE DEVOLUCION DE LA FACTURA CON SUS RESPECTIVOS SOPORTES, DE ACUERDO A LA DIRECTRIZ DE COOSALUD A NIVEL NACIONAL, SE SUSPENDE LA RADICACION DE LA FACTURACION DE LA IPS NQUE NO SE ENCUENTRAN DENTRO DE LA RED ADSCRITA DE LA EPSS. </t>
  </si>
  <si>
    <t>DF-9493077310194</t>
  </si>
  <si>
    <t>HSRF13992344</t>
  </si>
  <si>
    <t>Nuevamente se efectúa devolución de la factura teniendo en cuenta Auditoria por (Tele gestión), realizada por las auditoras Lady Milena Ocampo Restrepo y Yésica Paola Gómez Rivera en las fechas 29/05/2017 y 12/07/2017. Paciente que se encuentra con reporte de solicitud de autorización de servicios adicionales a la atención inicial de urgencias en línea 018000 de Coosalud el día 30 de junio; de quien no se recibe historia clínica para avalar internación, esta se solicitó a la IPS los días 7 y 11 de julio de 2017,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 La IPS No acepta aduciendo que anexa trazabilidad ante la EPSS para consecución de la respectiva Autorización, que la factura cumple con los estándares de las condiciones técnicas establecidas en la Resolución 1995 y que el sistema de información utilizado por la ESE DINAMICA GERENCIAL, software avalado por la Gobernación de Cundinamarca el cual reúne altos estándares de calidad. Ante lo anterior se aclara a la IPS, que se efectúa devolución de la factura, porque la IPS no presentó la historia clínica con sus respectivos soportes de manera oportuna al personal de auditoria concurrente (tele gestión), los cuales fueron solicitados los días 7 y 11 de julio de 2017. Ante la no evidencia de la atención COOSALUD EPS SA no puede reconocer ningún costo por la misma.</t>
  </si>
  <si>
    <t>Restrepo Pinzon Isabel Cristina</t>
  </si>
  <si>
    <t>DF-9423236528</t>
  </si>
  <si>
    <t>Se hace devolucion de la factura ya que se evidencia que al  cargar los rips en el sistemas no abrieron, por tal motivo no se puedo radicar la factura se solicita que se envie de nuevo con sus respectivos rips</t>
  </si>
  <si>
    <t>Montaño  Harold Hernando</t>
  </si>
  <si>
    <t>DF-769301731620</t>
  </si>
  <si>
    <t>SE HACE DEVOLUCION DE LA FACTURAS CON SUS RESPECTIVOS SOPORTES YA QUE SE EVIDENCIA QUE HACE FALTA LA PAGINA 3 DE 3 POR TAL MOTIVO NO CONTINUA CON EL PROCESO DE RADICACION</t>
  </si>
  <si>
    <t>DF-769301721250</t>
  </si>
  <si>
    <t>DF-769301721249</t>
  </si>
  <si>
    <t>se hace devolucion de factura,segun revision la factura recibida no corresponde a la fisica No HSRF14077197  y la recibida es HSRF14071197.</t>
  </si>
  <si>
    <t>Rivera Basto Nini Johanna</t>
  </si>
  <si>
    <t>DF-549234939268</t>
  </si>
  <si>
    <t>Se hace devolucion de factura HSRF0012718621, servicios extemporanes, corresponden a atenciones del año 2015, ademas se evidencia segun reporte anexo de adres, paciente no activo a acoosalud para la fecha de prastado el servicios, tampoco se anexa autorizacion expedida por EPS Coosalud, para la atencion del servicio</t>
  </si>
  <si>
    <t>Borda Parra Jehimy Patricia</t>
  </si>
  <si>
    <t>DF-15924593447</t>
  </si>
  <si>
    <t>HSRF0012718621</t>
  </si>
  <si>
    <t>Se hace nuevamente devolucion de la cuenta ya que debe ser facturada a nombre del PATRIMONIO AUTONOMO ADMINISTRADORA HOSPITALARIA DE SAN JOSE.</t>
  </si>
  <si>
    <t xml:space="preserve">SOTO CARDONA XIMENA </t>
  </si>
  <si>
    <t>DF-059232338245</t>
  </si>
  <si>
    <t>HSRF0013383606</t>
  </si>
  <si>
    <t xml:space="preserve">Se hace devolucion de la cuenta ya que la IPS no se encuentra incluida en la Red de Prestacion de Servicios de Coosalud EPS,Adicional se observa negacion del servicio con codigo 04257376 plataforma Dynamicos </t>
  </si>
  <si>
    <t>DF-05923233191</t>
  </si>
  <si>
    <t xml:space="preserve">SE HACE DEVOLUCIÓN DE LA FACTURA Y SUS RESPECTIVOS SOPORTES  POR EL SIGUIENTE MOTIVO: NO ADJUNTAN HSITORIA CLINICA DE LA ATENCION FIRMADA POR EL MEDICO TRATANTE. POR FAVOR REALIZAR LAS RESPECTIVAS CORRECCIONES Y UNA VEZ SUBSANE ENVIAR PARA CONTINUAR CON EL PROCESO DE AUDITORIA  Y ADJUNTAR NUEVAMENTE LOS RIPS CORRESPONDIENTE A LA FACTURA.   </t>
  </si>
  <si>
    <t>Resumen de egreso o epicrisis, hoja de atención de urgencias u odontograma</t>
  </si>
  <si>
    <t>DF-949307739642</t>
  </si>
  <si>
    <t>SE HACE DEVOLUCIÓN DE LA CUENTA YA QUE NO ANEXAN LA   AUTORIZACIÓN EMITIDA POR LA EPS  CORRESPONDIENTE A LA ATENCIÓN ,POR FAVOR REALIZAR LAS RESPECTIVAS CORRECCIONES Y UNA VEZ SUBSANE ENVIAR PARA CONTINUAR CON EL PROCESO DE AUDITORIA  Y ADJUNTAR NUEVAMENTE LOS RIPS CORRESPONDIENTE A LA FACTURA.   SE HACE DEVOLUCION DE LA FACTURA Y SUS RESPECTIVOS SOPORTES, NO ADJUNTAN MEDIO MAGNETICO DE LOS RIPS QUE PERMITA VALIDAR LA INFORMACION REGISTRADA, POR LO QUE SE SOLICITA LOS RIPS PARA CONTTINUAR EL PROCESO DE RADICACION Y AUITORIA MEDICA, SE LES RECUERDA TODA DEVOLUCION EFECTUADA DE SE ANEXAR EL MEDIO MAGNETICO CON SUS RESPECTIVOS RIPS</t>
  </si>
  <si>
    <t>Autorización principal no existe o no corresponde al prestador del servicio de salud</t>
  </si>
  <si>
    <t>DF-949307738872</t>
  </si>
  <si>
    <t>HSRF0012885777</t>
  </si>
  <si>
    <t>DF-949307738871</t>
  </si>
  <si>
    <t>HSFR0013075148</t>
  </si>
  <si>
    <t xml:space="preserve">SE HACE DEVOLUCIÓN DE LA CUENTA YA QUE NO ANEXAN LA   AUTORIZACIÓN EMITIDA POR LA EPS  CORRESPONDIENTE A LA ATENCIÓN ,POR FAVOR REALIZAR LAS RESPECTIVAS CORRECCIONES Y UNA VEZ SUBSANE ENVIAR PARA CONTINUAR CON EL PROCESO DE AUDITORIA  Y ADJUNTAR NUEVAMENTE LOS RIPS CORRESPONDIENTE A LA FACTURA.   SE HACE DEVOLUCION DE LA FACTURA Y SUS RESPECTIVOS SOPORTES, NO ADJUNTAN MEDIO MAGNETICO DE LOS RIPS QUE PERMITA VALIDAR LA INFORMACION REGISTRADA, POR LO QUE SE SOLICITA LOS RIPS PARA CONTTINUAR EL PROCESO DE RADICACION Y AUITORIA MEDICA, SE LES RECUERDA TODA DEVOLUCION EFECTUADA DE SE ANEXAR EL MEDIO MAGNETICO CON SUS RESPECTIVOS RIPS  </t>
  </si>
  <si>
    <t>DF-949307738867</t>
  </si>
  <si>
    <t>HSRF0012866181</t>
  </si>
  <si>
    <t xml:space="preserve">SE HACE DEVOLUCION DE LA FACTURA Y SUS RESPECTIVOS SOPORTES, NO ADJUNTAN MEDIO MAGNETICO DE LOS RIPS QUE PERMITA VALIDAR LA INFORMACION REGISTRADA, POR LO QUE SE SOLICITA LOS RIPS PARA CONTTINUAR EL PROCESO DE RADICACION Y AUITORIA MEDICA, SE LES RECUERDA TODA DEVOLUCION EFECTUADA DE SE ANEXAR EL MEDIO MAGNETICO CON SUS RESPECTIVOS RIPS. SE HACE DEVOLUCIÓN DE LA CUENTA YA QUE NO ANEXAN LA   AUTORIZACIÓN EMITIDA POR LA EPS  CORRESPONDIENTE A LA ATENCIÓN ,POR FAVOR REALIZAR LAS RESPECTIVAS CORRECCIONES Y UNA VEZ SUBSANE ENVIAR PARA CONTINUAR CON EL PROCESO DE AUDITORIA  Y ADJUNTAR NUEVAMENTE LOS RIPS CORRESPONDIENTE A LA FACTURA.  </t>
  </si>
  <si>
    <t>DF-949307738866</t>
  </si>
  <si>
    <t>HSFR0012860087</t>
  </si>
  <si>
    <t>SE HACE DEVOLUCIÓN DE LA CUENTA YA QUE NO ANEXAN LA   AUTORIZACIÓN EMITIDA POR LA EPS  CORRESPONDIENTE A LA ATENCIÓN ,POR FAVOR REALIZAR LAS RESPECTIVAS CORRECCIONES Y UNA VEZ SUBSANE ENVIAR PARA CONTINUAR CON EL PROCESO DE AUDITORIA  Y ADJUNTAR NUEVAMENTE LOS RIPS CORRESPONDIENTE A LA FACTURA.   SE HACE DEVOLUCION DE LA FACTURA Y SUS RESPECTIVOS SOPORTES, NO ADJUNTAN MEDIO MAGNETICO DE LOS RIPS QUE PERMITA VALIDAR LA INFORMACION REGISTRADA, POR LO QUE SE SOLICITA LOS RIPS PARA CONTTINUAR EL PROCESO DE RADICACION Y AUITORIA MEDICA, SE LES RECUERDA TODA DEVOLUCION EFECTUADA DE SE ANEXAR EL MEDIO MAGNETICO CON SUS RESPECTIVOS RIPS.</t>
  </si>
  <si>
    <t>DF-949307738865</t>
  </si>
  <si>
    <t>HSRF0012751753</t>
  </si>
  <si>
    <t>DINAMICO NEGADO Se genera devolucion de la factura ya que se evidencia que no hubo autorizacion por parte de coosalud para el servicio Hospitalización INTERNACIÓN EN SERVICIO COMPLEJIDAD MEDIANA, HABITACIÓN DE CUATRO CAMAS con fecha 30/07/2019  09:25:00 a. m. se encuentra negado en DINAMICO por tal motivo no continua con el proceso  de radicacion, se solicita separacion de ambos servicios urgencia y hospitalización facturas diferetes.</t>
  </si>
  <si>
    <t>DF-769301735054</t>
  </si>
  <si>
    <t>HSRF14060511</t>
  </si>
  <si>
    <t>Se hace devolucion de factura para la prestacion de servicio del paciente HONORALDO PELAYO NIÑO, DE FECHA 19 DE ENERO DE 2019 A 22/01/2019. segun linea amiga,  se realizo negacion para la prestacion del servicio</t>
  </si>
  <si>
    <t>Cuchivaguen Quiroz Maria Esperanza</t>
  </si>
  <si>
    <t>DF-150683739</t>
  </si>
  <si>
    <t>HSRF13827137</t>
  </si>
  <si>
    <t>Sin autorización principal o servicio electivo no autorizado al prestador de servicios de salud  Se hace realiza devolucion de la factura ya que los servicios posteriores a la urgencia no se encuentra autorizados por Coosalud EPS ,Se solicita presentar por separado la factura de la atencion inicial de urgencias y en otra los servicios debidamente autorizados por Coosalud EPS,Cabe aclarar que esta devolucion lo cual se entiende como una no conformidad que afecta en forma total la factura por prestacion de servicios de salud.</t>
  </si>
  <si>
    <t>DF-05923233472</t>
  </si>
  <si>
    <t>HSRF14196884</t>
  </si>
  <si>
    <t>Se hace devolución total de la factura Nº HSRF14154915, dado que se verifican en la página de dynamicoos y se evidencia que la atención posterior de urgencias, se encuentra negada con el caso N° 04566476, se solicita a la IPS separar la urgencia y la hospitalización, una vez realizada la separación, enviar solo la atención de urgencias. Una vez subsanado el motivo de devolución la factura se debe presentar nuevamente ante COOSALUD para su radicación y proceso financiero; dado que APLISTAFF cumple como empresa auditora y no se puede dar trámite a las facturas si estas no son avaladas por el área financiera deCOOSALUD.</t>
  </si>
  <si>
    <t>Walteros Ordoñez Yohanna Andrea</t>
  </si>
  <si>
    <t>DF-052943102</t>
  </si>
  <si>
    <t>HSRF14154915</t>
  </si>
  <si>
    <t>SE HACE DEVOLUCION DE LA FACTURA CON SUS RESPECTIVOS SOPORTES, DE ACUERDO A LA PAGINA DE FOSYFA EL SEÑOR GILDARDO DE JESUS TORRES LOPEZ SE ENECUENTRA AFILIADO  A CONVIDA EPSS DE LA FECHA 27 DE AGOSTO/2015 Y LA FECHA DE PRESTACION DEL SERVICIO ES DE NOVIEMBRE 2 DE 2015, RAZON POR LA CUAL NO TIENE COBERTURA CON COOSALUD EPS Y SE SOLICITA REALIZAR LOS CAMBIOS PERTINENTE AL PAGADOR CORRESPONDIENTE</t>
  </si>
  <si>
    <t>Usuario o servicio correspondiente a otro plan responsable</t>
  </si>
  <si>
    <t>DF-949307738870</t>
  </si>
  <si>
    <t>SE HACE DEVOLUCION DE LA FACTURA CON SUS RESPECTIVOS SOPORTES,  LA ATENCION AL HIJO DE ANYI MILENA GOMEZ MENESES DEL DIA 03/05/2016 Y SEGUN LA BASE DE DATOS LA MADRE SE ENCUENTRA AFILIADA DESDE MARZO 14/2016 A COMFACUNDI EPSS, POR LO TANTO LOS SERVICIOS CORRESPONDEN A LA EPS DONDE SE ENCUENTRA AFILIADA.</t>
  </si>
  <si>
    <t>DF-949307738869</t>
  </si>
  <si>
    <t>HSRF0012910745</t>
  </si>
  <si>
    <t>SE HACE DEVOLUCION DE LA FACTURA CON SUS RESPECTIVOS SOPORTES, DE ACUERDO A LA PAGINA DEL FOSYGA  LA SEÑORA ANYI MILENA GOMEZ MENESES SE ENCUENTRA AFILIADA A COMFACUNDI EPSS,DESDE MARZO 14/2016 Y SEGUN LOS SOPORTES ADJUNTOS LA FECHA DE PRESTACION DEL SERVICIO FUE EL DIA 3 DE MAYO/2016, RAZON POR LA CUAL LOS SERVICIOS SE DEBEN FACTURAR  A CARGO DE LA EPS CORRESPONDIENTE</t>
  </si>
  <si>
    <t>DF-949307738868</t>
  </si>
  <si>
    <t>HSRF0012890636</t>
  </si>
  <si>
    <t>SE HACE DEVOLUCION DE LA FACTURA CONSUS RESPECTIVOS SOPORTES, LA SEÑORA LUZ ALEJANDRA CASTILLO RONCANCIO SE AFILIO A CAFESALUD EPS  EL DIA 06 DE MARZO/2017, RAZON POR LA CUAL  SE DEBE FACTURAR AL PAGADOR CORRESPONDIENTE.</t>
  </si>
  <si>
    <t>DF-949307738864</t>
  </si>
  <si>
    <t>HFRF0013185619</t>
  </si>
  <si>
    <t>SE HACE DEVOLUCION DE LA FACTURA CON SUS RESPECTIVOS SOPORTES DEBIDO A: DE ACUERDO A LA PAGINA DEL FOSYGA LA SRA ÑUZ ALEJANDRA CASTILLO RONCANCIO SE ENCUENTRA AFILIADA  A CAFESALUD EPS Y LA ATENCION DE LA URGENCIA ES DE MARZO 20/2017 RAZON POR LA CUAL LOS SERVICIOS CORRESPONDEN A LA EPS DE REGIMEN CONTRIBUTIVO Y NO A COOSALUD TAL COMO SE INDICA EN EL DF68925162175.</t>
  </si>
  <si>
    <t>DF-949307738863</t>
  </si>
  <si>
    <t>HSRF0013198718</t>
  </si>
  <si>
    <t>Se hace devolución de la factura No. HSRF0013198718 por valor de $ 114.973 correspondiente a la atención del día 20/03/2017 de la paciente LUZ ALEJANDRA CASTILLO RONCANCIO identificado (a) con TI 99072711099  ya que el afiliado no se encuentra en la base de datos de COOSALUD EPS-S.Cabe aclarar que esta es una devolución lo cual se entiende como una no conformidad que afecta en forma total la factura por prestación de servicios de salud, encontrada por la entidad responsable del pago durante la revisión preliminar y que impide dar por presentada la factura según Resolución 3047 de 2008 Anexo técnico 6.</t>
  </si>
  <si>
    <t>Arenas Gomez Isabel Cristina</t>
  </si>
  <si>
    <t>DF-6846835472</t>
  </si>
  <si>
    <t>Se hace devolución de la factura No. HSRF0012910745 por valor de $ 2.763.766 correspondiente a la atención del día 03/05/2016 del paciente HIJO DE ANYI MILENA GOMEZ MENESES  ya que la madre del menor no se encuentra en la base de datos de COOSALUD EPS-S. Se evidencia que ANYI MILENA GÓMEZ MENESES identificada con CC 1069762244 se encuentra afiliada a COMFACUNDI desde el dia 14/03/2016. Se observa el pantallaso de correo a hospifusautorizacionshx5@gmail.com  que COOSALUD EPS el día 04/05/2016 notifico a la IPS que usuario no se encontraba en Base de Datos.  Favor facturar a dicha EPS-S quien es la responsable del pago de los servicios prestados. Anexo certificado del Fosyga. Cabe aclarar que esta factura no cuenta con ningun proceso administrativo ya que no cumple con los requisitos para su radicación.</t>
  </si>
  <si>
    <t>DF-6846835471</t>
  </si>
  <si>
    <t>Se hace devolución de la factura No. HSRF0012890636 por valor de $ 1.257.052 correspondiente a la atención del día 03/05/2016 de la paciente ANYI MILENA GOMEZ MENESES  identificada con CC 1069762244  ya que el afiliado no se encuentra en la base de datos de COOSALUD EPS-S. Se evidencia que dicho usuario se encuentra afiliado a COMFACUNDI desde el dia 14/03/2016. Se evidencia según pantallaso de correo a hospifusautorizacionshx5@gmail.com  que COOSALUD EPS el día 04/05/2016 notifico a la IPS que usuario no se encontraba en Base de Datos.  Favor facturar a dicha EPS-S quien es la responsable del pago de los servicios prestados. Anexo certificado del Fosyga. Cabe aclarar que esta factura no cuenta con ningun proceso administrativo ya que no cumple con los requisitos para su radicación.</t>
  </si>
  <si>
    <t>DF-6846835470</t>
  </si>
  <si>
    <t xml:space="preserve">Se hace devolución de la factura No. HSRF0013185619 por valor de $ 42.500 correspondiente a la atención del día 06/03/2017 de la paciente LUZ ALEJANDRA CASTILLO RONCANCIO identificado (a) con TI 99072711099  ya que el afiliado no se encuentra en la base de datos de COOSALUD EPS-S.Cabe aclarar que esta es una devolución lo cual se entiende como una no conformidad que afecta en forma total la factura por prestación de servicios de salud, encontrada por la entidad responsable del pago durante la revisión preliminar y que impide dar por presentada la factura según Resolución 3047 de 2008 Anexo técnico 6. </t>
  </si>
  <si>
    <t>DF-6846835469</t>
  </si>
  <si>
    <t>HSRF0013185619</t>
  </si>
  <si>
    <t>Se hace devolución total de la factura, dado que el usuario no se encuentra en la base de datos de la EPS Coosalud, se verifica en Adres y el paciente se encuentra afiliado a la A.R.S CONVIDA, por ende, se debe refacturar a la EPS antes mencionada. Una vez subsanado el motivo de devolución la factura se debe presentar nuevamente ante COOSALUD para su radicación y proceso financiero; dado que APLISTAFF cumple como empresa auditora y no se puede dar trámite a las facturas si estas no son avaladas por el área financiera de COOSALUD.</t>
  </si>
  <si>
    <t>Gamboa Blandon Johana Maria</t>
  </si>
  <si>
    <t>DF-2539431727</t>
  </si>
  <si>
    <t>HSRF14045219</t>
  </si>
  <si>
    <t>OBSERVACIONES</t>
  </si>
  <si>
    <t>DESCRIPCION</t>
  </si>
  <si>
    <t>MOTIVO_ESPECIFICO</t>
  </si>
  <si>
    <t>NOMBRE</t>
  </si>
  <si>
    <t>IPS</t>
  </si>
  <si>
    <t>FECHA_LLEGADA_APLISALUD</t>
  </si>
  <si>
    <t>FECHA_DEVOLUCION</t>
  </si>
  <si>
    <t>COD_DEVOLUCION</t>
  </si>
  <si>
    <t>FACTURA</t>
  </si>
  <si>
    <t>ENVIAR SOPORTES DE RADICACION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</si>
</sst>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 #,##0_-;_-* &quot;-&quot;_-;_-@_-"/>
    <numFmt numFmtId="43" formatCode="_-* #,##0.00_-;\-* #,##0.00_-;_-* &quot;-&quot;??_-;_-@_-"/>
    <numFmt numFmtId="164" formatCode="_(&quot;$&quot;\ * #,##0.00_);_(&quot;$&quot;\ * \(#,##0.00\);_(&quot;$&quot;\ * &quot;-&quot;??_);_(@_)"/>
    <numFmt numFmtId="165" formatCode="_-* #,##0_-;\-* #,##0_-;_-* &quot;-&quot;??_-;_-@_-"/>
    <numFmt numFmtId="166" formatCode="_(* #,##0_);_(* \(#,##0\);_(* &quot;-&quot;_);_(@_)"/>
    <numFmt numFmtId="167" formatCode="_-* #,##0.00\ &quot;$&quot;_-;\-* #,##0.00\ &quot;$&quot;_-;_-* &quot;-&quot;??\ &quot;$&quot;_-;_-@_-"/>
  </numFmts>
  <fonts count="12" x14ac:knownFonts="1">
    <font>
      <sz val="11"/>
      <color theme="1"/>
      <name val="Calibri"/>
      <family val="2"/>
      <scheme val="minor"/>
    </font>
    <font>
      <sz val="11"/>
      <color theme="1"/>
      <name val="Calibri"/>
      <family val="2"/>
      <scheme val="minor"/>
    </font>
    <font>
      <b/>
      <sz val="11"/>
      <color theme="1"/>
      <name val="Calibri"/>
      <family val="2"/>
      <scheme val="minor"/>
    </font>
    <font>
      <sz val="11"/>
      <color rgb="FFFF0000"/>
      <name val="Calibri"/>
      <family val="2"/>
      <scheme val="minor"/>
    </font>
    <font>
      <sz val="11"/>
      <color theme="1"/>
      <name val="Arial"/>
      <family val="2"/>
    </font>
    <font>
      <b/>
      <sz val="12"/>
      <color rgb="FF000000"/>
      <name val="Calibri"/>
      <family val="2"/>
    </font>
    <font>
      <b/>
      <sz val="11"/>
      <color rgb="FF000000"/>
      <name val="Calibri"/>
      <family val="2"/>
    </font>
    <font>
      <sz val="10"/>
      <name val="Arial"/>
      <family val="2"/>
    </font>
    <font>
      <b/>
      <sz val="10"/>
      <name val="Calibri"/>
      <family val="2"/>
      <scheme val="minor"/>
    </font>
    <font>
      <sz val="10"/>
      <name val="Calibri"/>
      <family val="2"/>
      <scheme val="minor"/>
    </font>
    <font>
      <sz val="11"/>
      <name val="Calibri"/>
      <family val="2"/>
      <scheme val="minor"/>
    </font>
    <font>
      <sz val="10"/>
      <name val="Arial"/>
    </font>
  </fonts>
  <fills count="6">
    <fill>
      <patternFill patternType="none"/>
    </fill>
    <fill>
      <patternFill patternType="gray125"/>
    </fill>
    <fill>
      <patternFill patternType="solid">
        <fgColor rgb="FF92D050"/>
        <bgColor rgb="FF000000"/>
      </patternFill>
    </fill>
    <fill>
      <patternFill patternType="solid">
        <fgColor theme="8" tint="0.39997558519241921"/>
        <bgColor indexed="64"/>
      </patternFill>
    </fill>
    <fill>
      <patternFill patternType="solid">
        <fgColor rgb="FF92D050"/>
        <bgColor indexed="64"/>
      </patternFill>
    </fill>
    <fill>
      <patternFill patternType="solid">
        <fgColor rgb="FFDDDDDD"/>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164" fontId="1" fillId="0" borderId="0" applyFont="0" applyFill="0" applyBorder="0" applyAlignment="0" applyProtection="0"/>
    <xf numFmtId="43" fontId="1" fillId="0" borderId="0" applyFont="0" applyFill="0" applyBorder="0" applyAlignment="0" applyProtection="0"/>
    <xf numFmtId="0" fontId="4" fillId="0" borderId="0"/>
    <xf numFmtId="0" fontId="11" fillId="0" borderId="0"/>
    <xf numFmtId="167" fontId="1" fillId="0" borderId="0" applyFont="0" applyFill="0" applyBorder="0" applyAlignment="0" applyProtection="0"/>
  </cellStyleXfs>
  <cellXfs count="38">
    <xf numFmtId="0" fontId="0" fillId="0" borderId="0" xfId="0"/>
    <xf numFmtId="0" fontId="0" fillId="0" borderId="1" xfId="0" applyBorder="1"/>
    <xf numFmtId="14" fontId="0" fillId="0" borderId="1" xfId="0" applyNumberFormat="1" applyBorder="1"/>
    <xf numFmtId="164" fontId="0" fillId="0" borderId="1" xfId="1" applyFont="1" applyBorder="1"/>
    <xf numFmtId="0" fontId="2" fillId="0" borderId="1" xfId="0" applyFont="1" applyBorder="1"/>
    <xf numFmtId="164" fontId="2" fillId="0" borderId="1" xfId="0" applyNumberFormat="1" applyFont="1" applyBorder="1"/>
    <xf numFmtId="0" fontId="5" fillId="0" borderId="1" xfId="3" applyFont="1" applyBorder="1" applyAlignment="1">
      <alignment horizontal="left" vertical="center" wrapText="1"/>
    </xf>
    <xf numFmtId="41" fontId="6" fillId="0" borderId="1" xfId="3" applyNumberFormat="1" applyFont="1" applyBorder="1"/>
    <xf numFmtId="0" fontId="6" fillId="0" borderId="1" xfId="3" applyFont="1" applyBorder="1"/>
    <xf numFmtId="0" fontId="6" fillId="0" borderId="1" xfId="3" applyFont="1" applyBorder="1" applyAlignment="1">
      <alignment wrapText="1"/>
    </xf>
    <xf numFmtId="0" fontId="7" fillId="0" borderId="1" xfId="3" applyFont="1" applyBorder="1"/>
    <xf numFmtId="165" fontId="10" fillId="0" borderId="0" xfId="2" applyNumberFormat="1" applyFont="1"/>
    <xf numFmtId="0" fontId="8" fillId="3" borderId="1" xfId="0" applyFont="1" applyFill="1" applyBorder="1" applyAlignment="1">
      <alignment horizontal="center" vertical="center"/>
    </xf>
    <xf numFmtId="165" fontId="8" fillId="3" borderId="1" xfId="2" applyNumberFormat="1" applyFont="1" applyFill="1" applyBorder="1" applyAlignment="1">
      <alignment horizontal="center" vertical="center"/>
    </xf>
    <xf numFmtId="166" fontId="9" fillId="0" borderId="1" xfId="0" applyNumberFormat="1" applyFont="1" applyBorder="1" applyAlignment="1">
      <alignment horizontal="center" vertical="center"/>
    </xf>
    <xf numFmtId="165" fontId="8" fillId="4" borderId="1" xfId="2" applyNumberFormat="1" applyFont="1" applyFill="1" applyBorder="1" applyAlignment="1">
      <alignment horizontal="center" vertical="center"/>
    </xf>
    <xf numFmtId="165" fontId="8" fillId="4" borderId="1" xfId="2" applyNumberFormat="1" applyFont="1" applyFill="1" applyBorder="1" applyAlignment="1">
      <alignment horizontal="center" vertical="center" wrapText="1"/>
    </xf>
    <xf numFmtId="0" fontId="8" fillId="4" borderId="1" xfId="0" applyFont="1" applyFill="1" applyBorder="1" applyAlignment="1">
      <alignment horizontal="center" vertical="center"/>
    </xf>
    <xf numFmtId="0" fontId="8" fillId="4" borderId="1" xfId="0" applyFont="1" applyFill="1" applyBorder="1" applyAlignment="1">
      <alignment vertical="center"/>
    </xf>
    <xf numFmtId="49" fontId="8" fillId="4" borderId="1" xfId="0" applyNumberFormat="1" applyFont="1" applyFill="1" applyBorder="1" applyAlignment="1">
      <alignment vertical="center"/>
    </xf>
    <xf numFmtId="0" fontId="0" fillId="0" borderId="0" xfId="0" applyBorder="1"/>
    <xf numFmtId="0" fontId="8" fillId="3" borderId="2" xfId="0" applyFont="1" applyFill="1" applyBorder="1" applyAlignment="1">
      <alignment horizontal="center" vertical="center"/>
    </xf>
    <xf numFmtId="0" fontId="0" fillId="0" borderId="2" xfId="0" applyBorder="1"/>
    <xf numFmtId="0" fontId="9" fillId="0" borderId="3" xfId="0" applyFont="1" applyBorder="1" applyAlignment="1">
      <alignment horizontal="center" vertical="center"/>
    </xf>
    <xf numFmtId="165" fontId="0" fillId="0" borderId="1" xfId="2" applyNumberFormat="1" applyFont="1" applyBorder="1"/>
    <xf numFmtId="0" fontId="11" fillId="0" borderId="0" xfId="4"/>
    <xf numFmtId="3" fontId="11" fillId="0" borderId="0" xfId="4" applyNumberFormat="1" applyAlignment="1">
      <alignment horizontal="right"/>
    </xf>
    <xf numFmtId="14" fontId="11" fillId="0" borderId="0" xfId="4" applyNumberFormat="1" applyAlignment="1">
      <alignment horizontal="right"/>
    </xf>
    <xf numFmtId="0" fontId="11" fillId="0" borderId="0" xfId="4" applyAlignment="1">
      <alignment indent="1"/>
    </xf>
    <xf numFmtId="0" fontId="11" fillId="5" borderId="1" xfId="4" applyFill="1" applyBorder="1"/>
    <xf numFmtId="165" fontId="0" fillId="0" borderId="0" xfId="0" applyNumberFormat="1"/>
    <xf numFmtId="165" fontId="3" fillId="0" borderId="0" xfId="0" applyNumberFormat="1" applyFont="1"/>
    <xf numFmtId="0" fontId="7" fillId="0" borderId="0" xfId="4" applyFont="1"/>
    <xf numFmtId="165" fontId="0" fillId="0" borderId="1" xfId="2" applyNumberFormat="1" applyFont="1" applyFill="1" applyBorder="1"/>
    <xf numFmtId="165" fontId="10" fillId="0" borderId="0" xfId="0" applyNumberFormat="1" applyFont="1"/>
    <xf numFmtId="0" fontId="5" fillId="2" borderId="2" xfId="3" applyFont="1" applyFill="1" applyBorder="1" applyAlignment="1">
      <alignment horizontal="center" vertical="center" wrapText="1"/>
    </xf>
    <xf numFmtId="0" fontId="5" fillId="2" borderId="3" xfId="3" applyFont="1" applyFill="1" applyBorder="1" applyAlignment="1">
      <alignment horizontal="center" vertical="center" wrapText="1"/>
    </xf>
    <xf numFmtId="14" fontId="0" fillId="0" borderId="0" xfId="0" applyNumberFormat="1"/>
  </cellXfs>
  <cellStyles count="6">
    <cellStyle name="Millares" xfId="2" builtinId="3"/>
    <cellStyle name="Moneda" xfId="1" builtinId="4"/>
    <cellStyle name="Moneda 2" xfId="5" xr:uid="{DA84BB58-2059-4A85-B275-9F380FC63605}"/>
    <cellStyle name="Normal" xfId="0" builtinId="0"/>
    <cellStyle name="Normal 2" xfId="3" xr:uid="{40295A40-13D5-48A3-A4E1-C5EF2A579C15}"/>
    <cellStyle name="Normal 3" xfId="4" xr:uid="{FAF48D38-6156-4FD2-A044-D827B2FB80E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2.gif"/></Relationships>
</file>

<file path=xl/drawings/_rels/drawing3.xml.rels><?xml version="1.0" encoding="UTF-8" standalone="yes"?>
<Relationships xmlns="http://schemas.openxmlformats.org/package/2006/relationships"><Relationship Id="rId1" Type="http://schemas.openxmlformats.org/officeDocument/2006/relationships/image" Target="../media/image3.gi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152400</xdr:colOff>
      <xdr:row>1</xdr:row>
      <xdr:rowOff>133350</xdr:rowOff>
    </xdr:to>
    <xdr:pic>
      <xdr:nvPicPr>
        <xdr:cNvPr id="2" name="Picture 582">
          <a:extLst>
            <a:ext uri="{FF2B5EF4-FFF2-40B4-BE49-F238E27FC236}">
              <a16:creationId xmlns:a16="http://schemas.microsoft.com/office/drawing/2014/main" id="{55E36F5F-DB29-4FE3-913A-600A038A296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19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xdr:row>
      <xdr:rowOff>0</xdr:rowOff>
    </xdr:from>
    <xdr:to>
      <xdr:col>0</xdr:col>
      <xdr:colOff>152400</xdr:colOff>
      <xdr:row>2</xdr:row>
      <xdr:rowOff>133350</xdr:rowOff>
    </xdr:to>
    <xdr:pic>
      <xdr:nvPicPr>
        <xdr:cNvPr id="3" name="Picture 581">
          <a:extLst>
            <a:ext uri="{FF2B5EF4-FFF2-40B4-BE49-F238E27FC236}">
              <a16:creationId xmlns:a16="http://schemas.microsoft.com/office/drawing/2014/main" id="{4903A658-249A-4D77-B96E-E08622783C3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238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xdr:row>
      <xdr:rowOff>0</xdr:rowOff>
    </xdr:from>
    <xdr:to>
      <xdr:col>0</xdr:col>
      <xdr:colOff>152400</xdr:colOff>
      <xdr:row>3</xdr:row>
      <xdr:rowOff>133350</xdr:rowOff>
    </xdr:to>
    <xdr:pic>
      <xdr:nvPicPr>
        <xdr:cNvPr id="4" name="Picture 576">
          <a:extLst>
            <a:ext uri="{FF2B5EF4-FFF2-40B4-BE49-F238E27FC236}">
              <a16:creationId xmlns:a16="http://schemas.microsoft.com/office/drawing/2014/main" id="{6E666605-80EB-407D-BE07-2BC399894839}"/>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85775"/>
          <a:ext cx="152400" cy="133350"/>
        </a:xfrm>
        <a:prstGeom prst="rect">
          <a:avLst/>
        </a:prstGeom>
        <a:solidFill>
          <a:srgbClr val="FFFFFF"/>
        </a:solidFill>
        <a:ln w="9525">
          <a:solidFill>
            <a:srgbClr val="000000"/>
          </a:solidFill>
          <a:round/>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152400</xdr:colOff>
      <xdr:row>1</xdr:row>
      <xdr:rowOff>133350</xdr:rowOff>
    </xdr:to>
    <xdr:pic>
      <xdr:nvPicPr>
        <xdr:cNvPr id="2" name="Picture 579">
          <a:extLst>
            <a:ext uri="{FF2B5EF4-FFF2-40B4-BE49-F238E27FC236}">
              <a16:creationId xmlns:a16="http://schemas.microsoft.com/office/drawing/2014/main" id="{9FFA70EE-E6D9-4562-AD01-E0FA0A56537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19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xdr:row>
      <xdr:rowOff>0</xdr:rowOff>
    </xdr:from>
    <xdr:to>
      <xdr:col>0</xdr:col>
      <xdr:colOff>152400</xdr:colOff>
      <xdr:row>2</xdr:row>
      <xdr:rowOff>133350</xdr:rowOff>
    </xdr:to>
    <xdr:pic>
      <xdr:nvPicPr>
        <xdr:cNvPr id="3" name="Picture 578">
          <a:extLst>
            <a:ext uri="{FF2B5EF4-FFF2-40B4-BE49-F238E27FC236}">
              <a16:creationId xmlns:a16="http://schemas.microsoft.com/office/drawing/2014/main" id="{3971758D-35D9-4FA6-A023-F2B5AD93664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238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xdr:row>
      <xdr:rowOff>0</xdr:rowOff>
    </xdr:from>
    <xdr:to>
      <xdr:col>0</xdr:col>
      <xdr:colOff>152400</xdr:colOff>
      <xdr:row>3</xdr:row>
      <xdr:rowOff>133350</xdr:rowOff>
    </xdr:to>
    <xdr:pic>
      <xdr:nvPicPr>
        <xdr:cNvPr id="4" name="Picture 577">
          <a:extLst>
            <a:ext uri="{FF2B5EF4-FFF2-40B4-BE49-F238E27FC236}">
              <a16:creationId xmlns:a16="http://schemas.microsoft.com/office/drawing/2014/main" id="{A312559A-4960-4BC6-B523-2EDA8A9F142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857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xdr:row>
      <xdr:rowOff>0</xdr:rowOff>
    </xdr:from>
    <xdr:to>
      <xdr:col>0</xdr:col>
      <xdr:colOff>152400</xdr:colOff>
      <xdr:row>4</xdr:row>
      <xdr:rowOff>133350</xdr:rowOff>
    </xdr:to>
    <xdr:pic>
      <xdr:nvPicPr>
        <xdr:cNvPr id="5" name="Picture 575">
          <a:extLst>
            <a:ext uri="{FF2B5EF4-FFF2-40B4-BE49-F238E27FC236}">
              <a16:creationId xmlns:a16="http://schemas.microsoft.com/office/drawing/2014/main" id="{F8D87F88-C5B2-45C0-A4A4-3B3FC5FF81FE}"/>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xdr:row>
      <xdr:rowOff>0</xdr:rowOff>
    </xdr:from>
    <xdr:to>
      <xdr:col>0</xdr:col>
      <xdr:colOff>152400</xdr:colOff>
      <xdr:row>5</xdr:row>
      <xdr:rowOff>133350</xdr:rowOff>
    </xdr:to>
    <xdr:pic>
      <xdr:nvPicPr>
        <xdr:cNvPr id="6" name="Picture 574">
          <a:extLst>
            <a:ext uri="{FF2B5EF4-FFF2-40B4-BE49-F238E27FC236}">
              <a16:creationId xmlns:a16="http://schemas.microsoft.com/office/drawing/2014/main" id="{E3F7FE14-F924-4107-9055-476754FDB62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096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xdr:row>
      <xdr:rowOff>0</xdr:rowOff>
    </xdr:from>
    <xdr:to>
      <xdr:col>0</xdr:col>
      <xdr:colOff>152400</xdr:colOff>
      <xdr:row>6</xdr:row>
      <xdr:rowOff>133350</xdr:rowOff>
    </xdr:to>
    <xdr:pic>
      <xdr:nvPicPr>
        <xdr:cNvPr id="7" name="Picture 573">
          <a:extLst>
            <a:ext uri="{FF2B5EF4-FFF2-40B4-BE49-F238E27FC236}">
              <a16:creationId xmlns:a16="http://schemas.microsoft.com/office/drawing/2014/main" id="{2AB46ADF-68C8-4117-AC2F-F7FA4FD597E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715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xdr:row>
      <xdr:rowOff>0</xdr:rowOff>
    </xdr:from>
    <xdr:to>
      <xdr:col>0</xdr:col>
      <xdr:colOff>152400</xdr:colOff>
      <xdr:row>7</xdr:row>
      <xdr:rowOff>133350</xdr:rowOff>
    </xdr:to>
    <xdr:pic>
      <xdr:nvPicPr>
        <xdr:cNvPr id="8" name="Picture 572">
          <a:extLst>
            <a:ext uri="{FF2B5EF4-FFF2-40B4-BE49-F238E27FC236}">
              <a16:creationId xmlns:a16="http://schemas.microsoft.com/office/drawing/2014/main" id="{F61DC167-C6EE-4EED-BBD1-2354AEFD872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334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xdr:row>
      <xdr:rowOff>0</xdr:rowOff>
    </xdr:from>
    <xdr:to>
      <xdr:col>0</xdr:col>
      <xdr:colOff>152400</xdr:colOff>
      <xdr:row>8</xdr:row>
      <xdr:rowOff>133350</xdr:rowOff>
    </xdr:to>
    <xdr:pic>
      <xdr:nvPicPr>
        <xdr:cNvPr id="9" name="Picture 571">
          <a:extLst>
            <a:ext uri="{FF2B5EF4-FFF2-40B4-BE49-F238E27FC236}">
              <a16:creationId xmlns:a16="http://schemas.microsoft.com/office/drawing/2014/main" id="{88633DA3-0197-48D3-8D81-51BA4DF39FA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954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9</xdr:row>
      <xdr:rowOff>0</xdr:rowOff>
    </xdr:from>
    <xdr:to>
      <xdr:col>0</xdr:col>
      <xdr:colOff>152400</xdr:colOff>
      <xdr:row>9</xdr:row>
      <xdr:rowOff>133350</xdr:rowOff>
    </xdr:to>
    <xdr:pic>
      <xdr:nvPicPr>
        <xdr:cNvPr id="10" name="Picture 570">
          <a:extLst>
            <a:ext uri="{FF2B5EF4-FFF2-40B4-BE49-F238E27FC236}">
              <a16:creationId xmlns:a16="http://schemas.microsoft.com/office/drawing/2014/main" id="{5E98B213-F07D-4CC7-A7A9-851C3ACA5355}"/>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7325"/>
          <a:ext cx="152400" cy="133350"/>
        </a:xfrm>
        <a:prstGeom prst="rect">
          <a:avLst/>
        </a:prstGeom>
        <a:solidFill>
          <a:srgbClr val="FFFFFF"/>
        </a:solidFill>
        <a:ln w="9525">
          <a:solidFill>
            <a:srgbClr val="000000"/>
          </a:solidFill>
          <a:round/>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463</xdr:row>
      <xdr:rowOff>0</xdr:rowOff>
    </xdr:from>
    <xdr:to>
      <xdr:col>0</xdr:col>
      <xdr:colOff>152400</xdr:colOff>
      <xdr:row>463</xdr:row>
      <xdr:rowOff>133350</xdr:rowOff>
    </xdr:to>
    <xdr:pic>
      <xdr:nvPicPr>
        <xdr:cNvPr id="36" name="Picture 527">
          <a:extLst>
            <a:ext uri="{FF2B5EF4-FFF2-40B4-BE49-F238E27FC236}">
              <a16:creationId xmlns:a16="http://schemas.microsoft.com/office/drawing/2014/main" id="{8C83EB47-CD48-45E9-818A-F4444E2D46F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6673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464</xdr:row>
      <xdr:rowOff>0</xdr:rowOff>
    </xdr:from>
    <xdr:to>
      <xdr:col>0</xdr:col>
      <xdr:colOff>152400</xdr:colOff>
      <xdr:row>464</xdr:row>
      <xdr:rowOff>133350</xdr:rowOff>
    </xdr:to>
    <xdr:pic>
      <xdr:nvPicPr>
        <xdr:cNvPr id="37" name="Picture 526">
          <a:extLst>
            <a:ext uri="{FF2B5EF4-FFF2-40B4-BE49-F238E27FC236}">
              <a16:creationId xmlns:a16="http://schemas.microsoft.com/office/drawing/2014/main" id="{83D04778-5FE9-4FCA-AD2A-1586283568D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8293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465</xdr:row>
      <xdr:rowOff>0</xdr:rowOff>
    </xdr:from>
    <xdr:to>
      <xdr:col>0</xdr:col>
      <xdr:colOff>152400</xdr:colOff>
      <xdr:row>465</xdr:row>
      <xdr:rowOff>133350</xdr:rowOff>
    </xdr:to>
    <xdr:pic>
      <xdr:nvPicPr>
        <xdr:cNvPr id="38" name="Picture 525">
          <a:extLst>
            <a:ext uri="{FF2B5EF4-FFF2-40B4-BE49-F238E27FC236}">
              <a16:creationId xmlns:a16="http://schemas.microsoft.com/office/drawing/2014/main" id="{5EFC6A44-3DEE-498F-A438-51571F04491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9912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466</xdr:row>
      <xdr:rowOff>0</xdr:rowOff>
    </xdr:from>
    <xdr:to>
      <xdr:col>0</xdr:col>
      <xdr:colOff>152400</xdr:colOff>
      <xdr:row>466</xdr:row>
      <xdr:rowOff>133350</xdr:rowOff>
    </xdr:to>
    <xdr:pic>
      <xdr:nvPicPr>
        <xdr:cNvPr id="39" name="Picture 524">
          <a:extLst>
            <a:ext uri="{FF2B5EF4-FFF2-40B4-BE49-F238E27FC236}">
              <a16:creationId xmlns:a16="http://schemas.microsoft.com/office/drawing/2014/main" id="{5459842B-C874-49C2-AE10-DC9AD011CF0B}"/>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1531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467</xdr:row>
      <xdr:rowOff>0</xdr:rowOff>
    </xdr:from>
    <xdr:to>
      <xdr:col>0</xdr:col>
      <xdr:colOff>152400</xdr:colOff>
      <xdr:row>467</xdr:row>
      <xdr:rowOff>133350</xdr:rowOff>
    </xdr:to>
    <xdr:pic>
      <xdr:nvPicPr>
        <xdr:cNvPr id="40" name="Picture 523">
          <a:extLst>
            <a:ext uri="{FF2B5EF4-FFF2-40B4-BE49-F238E27FC236}">
              <a16:creationId xmlns:a16="http://schemas.microsoft.com/office/drawing/2014/main" id="{795091BD-5C19-449B-BE1A-1ACA9BB1251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3150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468</xdr:row>
      <xdr:rowOff>0</xdr:rowOff>
    </xdr:from>
    <xdr:to>
      <xdr:col>0</xdr:col>
      <xdr:colOff>152400</xdr:colOff>
      <xdr:row>468</xdr:row>
      <xdr:rowOff>133350</xdr:rowOff>
    </xdr:to>
    <xdr:pic>
      <xdr:nvPicPr>
        <xdr:cNvPr id="41" name="Picture 522">
          <a:extLst>
            <a:ext uri="{FF2B5EF4-FFF2-40B4-BE49-F238E27FC236}">
              <a16:creationId xmlns:a16="http://schemas.microsoft.com/office/drawing/2014/main" id="{8D8DDCB2-5DD8-4B3C-AEA9-192837D8A5CB}"/>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469</xdr:row>
      <xdr:rowOff>0</xdr:rowOff>
    </xdr:from>
    <xdr:to>
      <xdr:col>0</xdr:col>
      <xdr:colOff>152400</xdr:colOff>
      <xdr:row>469</xdr:row>
      <xdr:rowOff>133350</xdr:rowOff>
    </xdr:to>
    <xdr:pic>
      <xdr:nvPicPr>
        <xdr:cNvPr id="42" name="Picture 521">
          <a:extLst>
            <a:ext uri="{FF2B5EF4-FFF2-40B4-BE49-F238E27FC236}">
              <a16:creationId xmlns:a16="http://schemas.microsoft.com/office/drawing/2014/main" id="{5921B512-F2FD-419E-9285-0D9ADAB56EB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6389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470</xdr:row>
      <xdr:rowOff>0</xdr:rowOff>
    </xdr:from>
    <xdr:to>
      <xdr:col>0</xdr:col>
      <xdr:colOff>152400</xdr:colOff>
      <xdr:row>470</xdr:row>
      <xdr:rowOff>133350</xdr:rowOff>
    </xdr:to>
    <xdr:pic>
      <xdr:nvPicPr>
        <xdr:cNvPr id="43" name="Picture 520">
          <a:extLst>
            <a:ext uri="{FF2B5EF4-FFF2-40B4-BE49-F238E27FC236}">
              <a16:creationId xmlns:a16="http://schemas.microsoft.com/office/drawing/2014/main" id="{387C7E59-A47C-453C-B3FD-9D34B1EAA0CA}"/>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8008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471</xdr:row>
      <xdr:rowOff>0</xdr:rowOff>
    </xdr:from>
    <xdr:to>
      <xdr:col>0</xdr:col>
      <xdr:colOff>152400</xdr:colOff>
      <xdr:row>471</xdr:row>
      <xdr:rowOff>133350</xdr:rowOff>
    </xdr:to>
    <xdr:pic>
      <xdr:nvPicPr>
        <xdr:cNvPr id="44" name="Picture 519">
          <a:extLst>
            <a:ext uri="{FF2B5EF4-FFF2-40B4-BE49-F238E27FC236}">
              <a16:creationId xmlns:a16="http://schemas.microsoft.com/office/drawing/2014/main" id="{5FDF947F-BF67-42D9-A85C-2A464A86EEF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9627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472</xdr:row>
      <xdr:rowOff>0</xdr:rowOff>
    </xdr:from>
    <xdr:to>
      <xdr:col>0</xdr:col>
      <xdr:colOff>152400</xdr:colOff>
      <xdr:row>472</xdr:row>
      <xdr:rowOff>133350</xdr:rowOff>
    </xdr:to>
    <xdr:pic>
      <xdr:nvPicPr>
        <xdr:cNvPr id="45" name="Picture 518">
          <a:extLst>
            <a:ext uri="{FF2B5EF4-FFF2-40B4-BE49-F238E27FC236}">
              <a16:creationId xmlns:a16="http://schemas.microsoft.com/office/drawing/2014/main" id="{8C8AE022-EDDA-4FCF-BFC6-426A25CB4D98}"/>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1247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473</xdr:row>
      <xdr:rowOff>0</xdr:rowOff>
    </xdr:from>
    <xdr:to>
      <xdr:col>0</xdr:col>
      <xdr:colOff>152400</xdr:colOff>
      <xdr:row>473</xdr:row>
      <xdr:rowOff>133350</xdr:rowOff>
    </xdr:to>
    <xdr:pic>
      <xdr:nvPicPr>
        <xdr:cNvPr id="46" name="Picture 517">
          <a:extLst>
            <a:ext uri="{FF2B5EF4-FFF2-40B4-BE49-F238E27FC236}">
              <a16:creationId xmlns:a16="http://schemas.microsoft.com/office/drawing/2014/main" id="{08A2A09F-CF65-4B41-9E69-2FC98F3AB93A}"/>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2866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474</xdr:row>
      <xdr:rowOff>0</xdr:rowOff>
    </xdr:from>
    <xdr:to>
      <xdr:col>0</xdr:col>
      <xdr:colOff>152400</xdr:colOff>
      <xdr:row>474</xdr:row>
      <xdr:rowOff>133350</xdr:rowOff>
    </xdr:to>
    <xdr:pic>
      <xdr:nvPicPr>
        <xdr:cNvPr id="47" name="Picture 516">
          <a:extLst>
            <a:ext uri="{FF2B5EF4-FFF2-40B4-BE49-F238E27FC236}">
              <a16:creationId xmlns:a16="http://schemas.microsoft.com/office/drawing/2014/main" id="{4CB69B05-D617-4501-9C94-B30E34AE23BC}"/>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4485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475</xdr:row>
      <xdr:rowOff>0</xdr:rowOff>
    </xdr:from>
    <xdr:to>
      <xdr:col>0</xdr:col>
      <xdr:colOff>152400</xdr:colOff>
      <xdr:row>475</xdr:row>
      <xdr:rowOff>133350</xdr:rowOff>
    </xdr:to>
    <xdr:pic>
      <xdr:nvPicPr>
        <xdr:cNvPr id="48" name="Picture 515">
          <a:extLst>
            <a:ext uri="{FF2B5EF4-FFF2-40B4-BE49-F238E27FC236}">
              <a16:creationId xmlns:a16="http://schemas.microsoft.com/office/drawing/2014/main" id="{42A90C3A-0AAA-48D4-A119-4FE34632EE13}"/>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6104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476</xdr:row>
      <xdr:rowOff>0</xdr:rowOff>
    </xdr:from>
    <xdr:to>
      <xdr:col>0</xdr:col>
      <xdr:colOff>152400</xdr:colOff>
      <xdr:row>476</xdr:row>
      <xdr:rowOff>133350</xdr:rowOff>
    </xdr:to>
    <xdr:pic>
      <xdr:nvPicPr>
        <xdr:cNvPr id="49" name="Picture 514">
          <a:extLst>
            <a:ext uri="{FF2B5EF4-FFF2-40B4-BE49-F238E27FC236}">
              <a16:creationId xmlns:a16="http://schemas.microsoft.com/office/drawing/2014/main" id="{1738A15D-E7FA-4F17-9C81-8B7D70BC873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7724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477</xdr:row>
      <xdr:rowOff>0</xdr:rowOff>
    </xdr:from>
    <xdr:to>
      <xdr:col>0</xdr:col>
      <xdr:colOff>152400</xdr:colOff>
      <xdr:row>477</xdr:row>
      <xdr:rowOff>133350</xdr:rowOff>
    </xdr:to>
    <xdr:pic>
      <xdr:nvPicPr>
        <xdr:cNvPr id="50" name="Picture 513">
          <a:extLst>
            <a:ext uri="{FF2B5EF4-FFF2-40B4-BE49-F238E27FC236}">
              <a16:creationId xmlns:a16="http://schemas.microsoft.com/office/drawing/2014/main" id="{DAFB0AAF-EFC1-4A75-B973-70FA80FA8F2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9343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478</xdr:row>
      <xdr:rowOff>0</xdr:rowOff>
    </xdr:from>
    <xdr:to>
      <xdr:col>0</xdr:col>
      <xdr:colOff>152400</xdr:colOff>
      <xdr:row>478</xdr:row>
      <xdr:rowOff>133350</xdr:rowOff>
    </xdr:to>
    <xdr:pic>
      <xdr:nvPicPr>
        <xdr:cNvPr id="51" name="Picture 512">
          <a:extLst>
            <a:ext uri="{FF2B5EF4-FFF2-40B4-BE49-F238E27FC236}">
              <a16:creationId xmlns:a16="http://schemas.microsoft.com/office/drawing/2014/main" id="{0953A561-4C7B-4E9F-9637-CDAD094B7735}"/>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0962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479</xdr:row>
      <xdr:rowOff>0</xdr:rowOff>
    </xdr:from>
    <xdr:to>
      <xdr:col>0</xdr:col>
      <xdr:colOff>152400</xdr:colOff>
      <xdr:row>479</xdr:row>
      <xdr:rowOff>133350</xdr:rowOff>
    </xdr:to>
    <xdr:pic>
      <xdr:nvPicPr>
        <xdr:cNvPr id="52" name="Picture 511">
          <a:extLst>
            <a:ext uri="{FF2B5EF4-FFF2-40B4-BE49-F238E27FC236}">
              <a16:creationId xmlns:a16="http://schemas.microsoft.com/office/drawing/2014/main" id="{FFAA4C9B-ABFB-46F1-80ED-C8A715D254E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2581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480</xdr:row>
      <xdr:rowOff>0</xdr:rowOff>
    </xdr:from>
    <xdr:to>
      <xdr:col>0</xdr:col>
      <xdr:colOff>152400</xdr:colOff>
      <xdr:row>480</xdr:row>
      <xdr:rowOff>133350</xdr:rowOff>
    </xdr:to>
    <xdr:pic>
      <xdr:nvPicPr>
        <xdr:cNvPr id="53" name="Picture 510">
          <a:extLst>
            <a:ext uri="{FF2B5EF4-FFF2-40B4-BE49-F238E27FC236}">
              <a16:creationId xmlns:a16="http://schemas.microsoft.com/office/drawing/2014/main" id="{C1DBAB04-1C7C-46CC-B981-C53DD2C1523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4201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481</xdr:row>
      <xdr:rowOff>0</xdr:rowOff>
    </xdr:from>
    <xdr:to>
      <xdr:col>0</xdr:col>
      <xdr:colOff>152400</xdr:colOff>
      <xdr:row>481</xdr:row>
      <xdr:rowOff>133350</xdr:rowOff>
    </xdr:to>
    <xdr:pic>
      <xdr:nvPicPr>
        <xdr:cNvPr id="54" name="Picture 509">
          <a:extLst>
            <a:ext uri="{FF2B5EF4-FFF2-40B4-BE49-F238E27FC236}">
              <a16:creationId xmlns:a16="http://schemas.microsoft.com/office/drawing/2014/main" id="{9E5F5DF7-0D2F-4471-A0DA-519FC46F2D83}"/>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5820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482</xdr:row>
      <xdr:rowOff>0</xdr:rowOff>
    </xdr:from>
    <xdr:to>
      <xdr:col>0</xdr:col>
      <xdr:colOff>152400</xdr:colOff>
      <xdr:row>482</xdr:row>
      <xdr:rowOff>133350</xdr:rowOff>
    </xdr:to>
    <xdr:pic>
      <xdr:nvPicPr>
        <xdr:cNvPr id="55" name="Picture 508">
          <a:extLst>
            <a:ext uri="{FF2B5EF4-FFF2-40B4-BE49-F238E27FC236}">
              <a16:creationId xmlns:a16="http://schemas.microsoft.com/office/drawing/2014/main" id="{920301D0-8A2A-48A6-B77B-7D57D41A9F2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7439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483</xdr:row>
      <xdr:rowOff>0</xdr:rowOff>
    </xdr:from>
    <xdr:to>
      <xdr:col>0</xdr:col>
      <xdr:colOff>152400</xdr:colOff>
      <xdr:row>483</xdr:row>
      <xdr:rowOff>133350</xdr:rowOff>
    </xdr:to>
    <xdr:pic>
      <xdr:nvPicPr>
        <xdr:cNvPr id="56" name="Picture 507">
          <a:extLst>
            <a:ext uri="{FF2B5EF4-FFF2-40B4-BE49-F238E27FC236}">
              <a16:creationId xmlns:a16="http://schemas.microsoft.com/office/drawing/2014/main" id="{BCC9613E-D4C1-448C-960A-778152B3388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9058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484</xdr:row>
      <xdr:rowOff>0</xdr:rowOff>
    </xdr:from>
    <xdr:to>
      <xdr:col>0</xdr:col>
      <xdr:colOff>152400</xdr:colOff>
      <xdr:row>484</xdr:row>
      <xdr:rowOff>133350</xdr:rowOff>
    </xdr:to>
    <xdr:pic>
      <xdr:nvPicPr>
        <xdr:cNvPr id="57" name="Picture 506">
          <a:extLst>
            <a:ext uri="{FF2B5EF4-FFF2-40B4-BE49-F238E27FC236}">
              <a16:creationId xmlns:a16="http://schemas.microsoft.com/office/drawing/2014/main" id="{8C057149-56A5-4571-A69C-ABCEF0008A0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0678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485</xdr:row>
      <xdr:rowOff>0</xdr:rowOff>
    </xdr:from>
    <xdr:to>
      <xdr:col>0</xdr:col>
      <xdr:colOff>152400</xdr:colOff>
      <xdr:row>485</xdr:row>
      <xdr:rowOff>133350</xdr:rowOff>
    </xdr:to>
    <xdr:pic>
      <xdr:nvPicPr>
        <xdr:cNvPr id="58" name="Picture 505">
          <a:extLst>
            <a:ext uri="{FF2B5EF4-FFF2-40B4-BE49-F238E27FC236}">
              <a16:creationId xmlns:a16="http://schemas.microsoft.com/office/drawing/2014/main" id="{6013B023-F873-45E8-A896-8029FFCFD337}"/>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2297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486</xdr:row>
      <xdr:rowOff>0</xdr:rowOff>
    </xdr:from>
    <xdr:to>
      <xdr:col>0</xdr:col>
      <xdr:colOff>152400</xdr:colOff>
      <xdr:row>486</xdr:row>
      <xdr:rowOff>133350</xdr:rowOff>
    </xdr:to>
    <xdr:pic>
      <xdr:nvPicPr>
        <xdr:cNvPr id="59" name="Picture 504">
          <a:extLst>
            <a:ext uri="{FF2B5EF4-FFF2-40B4-BE49-F238E27FC236}">
              <a16:creationId xmlns:a16="http://schemas.microsoft.com/office/drawing/2014/main" id="{DF8BF72C-5037-442C-8009-672F84E4834C}"/>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3916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487</xdr:row>
      <xdr:rowOff>0</xdr:rowOff>
    </xdr:from>
    <xdr:to>
      <xdr:col>0</xdr:col>
      <xdr:colOff>152400</xdr:colOff>
      <xdr:row>487</xdr:row>
      <xdr:rowOff>133350</xdr:rowOff>
    </xdr:to>
    <xdr:pic>
      <xdr:nvPicPr>
        <xdr:cNvPr id="60" name="Picture 503">
          <a:extLst>
            <a:ext uri="{FF2B5EF4-FFF2-40B4-BE49-F238E27FC236}">
              <a16:creationId xmlns:a16="http://schemas.microsoft.com/office/drawing/2014/main" id="{BE78151C-7EBC-471C-A65A-6DE902A4EBD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535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488</xdr:row>
      <xdr:rowOff>0</xdr:rowOff>
    </xdr:from>
    <xdr:to>
      <xdr:col>0</xdr:col>
      <xdr:colOff>152400</xdr:colOff>
      <xdr:row>488</xdr:row>
      <xdr:rowOff>133350</xdr:rowOff>
    </xdr:to>
    <xdr:pic>
      <xdr:nvPicPr>
        <xdr:cNvPr id="61" name="Picture 502">
          <a:extLst>
            <a:ext uri="{FF2B5EF4-FFF2-40B4-BE49-F238E27FC236}">
              <a16:creationId xmlns:a16="http://schemas.microsoft.com/office/drawing/2014/main" id="{8FC5C42B-2F28-458B-814E-A94A3350A20A}"/>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7155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489</xdr:row>
      <xdr:rowOff>0</xdr:rowOff>
    </xdr:from>
    <xdr:to>
      <xdr:col>0</xdr:col>
      <xdr:colOff>152400</xdr:colOff>
      <xdr:row>489</xdr:row>
      <xdr:rowOff>133350</xdr:rowOff>
    </xdr:to>
    <xdr:pic>
      <xdr:nvPicPr>
        <xdr:cNvPr id="62" name="Picture 501">
          <a:extLst>
            <a:ext uri="{FF2B5EF4-FFF2-40B4-BE49-F238E27FC236}">
              <a16:creationId xmlns:a16="http://schemas.microsoft.com/office/drawing/2014/main" id="{255A3A9F-ABB1-41C0-AFDB-6D99254040D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8774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490</xdr:row>
      <xdr:rowOff>0</xdr:rowOff>
    </xdr:from>
    <xdr:to>
      <xdr:col>0</xdr:col>
      <xdr:colOff>152400</xdr:colOff>
      <xdr:row>490</xdr:row>
      <xdr:rowOff>133350</xdr:rowOff>
    </xdr:to>
    <xdr:pic>
      <xdr:nvPicPr>
        <xdr:cNvPr id="63" name="Picture 500">
          <a:extLst>
            <a:ext uri="{FF2B5EF4-FFF2-40B4-BE49-F238E27FC236}">
              <a16:creationId xmlns:a16="http://schemas.microsoft.com/office/drawing/2014/main" id="{0F965653-C9FE-443C-9F23-C084C52BC847}"/>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0393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491</xdr:row>
      <xdr:rowOff>0</xdr:rowOff>
    </xdr:from>
    <xdr:to>
      <xdr:col>0</xdr:col>
      <xdr:colOff>152400</xdr:colOff>
      <xdr:row>491</xdr:row>
      <xdr:rowOff>133350</xdr:rowOff>
    </xdr:to>
    <xdr:pic>
      <xdr:nvPicPr>
        <xdr:cNvPr id="64" name="Picture 499">
          <a:extLst>
            <a:ext uri="{FF2B5EF4-FFF2-40B4-BE49-F238E27FC236}">
              <a16:creationId xmlns:a16="http://schemas.microsoft.com/office/drawing/2014/main" id="{A825ACB8-0B9C-42E3-8EB5-5EB5B25A101A}"/>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2012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492</xdr:row>
      <xdr:rowOff>0</xdr:rowOff>
    </xdr:from>
    <xdr:to>
      <xdr:col>0</xdr:col>
      <xdr:colOff>152400</xdr:colOff>
      <xdr:row>492</xdr:row>
      <xdr:rowOff>133350</xdr:rowOff>
    </xdr:to>
    <xdr:pic>
      <xdr:nvPicPr>
        <xdr:cNvPr id="65" name="Picture 498">
          <a:extLst>
            <a:ext uri="{FF2B5EF4-FFF2-40B4-BE49-F238E27FC236}">
              <a16:creationId xmlns:a16="http://schemas.microsoft.com/office/drawing/2014/main" id="{A8200BF5-EFD2-4F58-8096-18C974F8338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3632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493</xdr:row>
      <xdr:rowOff>0</xdr:rowOff>
    </xdr:from>
    <xdr:to>
      <xdr:col>0</xdr:col>
      <xdr:colOff>152400</xdr:colOff>
      <xdr:row>493</xdr:row>
      <xdr:rowOff>133350</xdr:rowOff>
    </xdr:to>
    <xdr:pic>
      <xdr:nvPicPr>
        <xdr:cNvPr id="66" name="Picture 497">
          <a:extLst>
            <a:ext uri="{FF2B5EF4-FFF2-40B4-BE49-F238E27FC236}">
              <a16:creationId xmlns:a16="http://schemas.microsoft.com/office/drawing/2014/main" id="{E2ED8AD5-A6C7-44BE-B9F0-4B0B91C6AB25}"/>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5251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494</xdr:row>
      <xdr:rowOff>0</xdr:rowOff>
    </xdr:from>
    <xdr:to>
      <xdr:col>0</xdr:col>
      <xdr:colOff>152400</xdr:colOff>
      <xdr:row>494</xdr:row>
      <xdr:rowOff>133350</xdr:rowOff>
    </xdr:to>
    <xdr:pic>
      <xdr:nvPicPr>
        <xdr:cNvPr id="67" name="Picture 496">
          <a:extLst>
            <a:ext uri="{FF2B5EF4-FFF2-40B4-BE49-F238E27FC236}">
              <a16:creationId xmlns:a16="http://schemas.microsoft.com/office/drawing/2014/main" id="{B9BCC7CC-2DE8-47B7-80BA-72138BA16C0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6870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495</xdr:row>
      <xdr:rowOff>0</xdr:rowOff>
    </xdr:from>
    <xdr:to>
      <xdr:col>0</xdr:col>
      <xdr:colOff>152400</xdr:colOff>
      <xdr:row>495</xdr:row>
      <xdr:rowOff>133350</xdr:rowOff>
    </xdr:to>
    <xdr:pic>
      <xdr:nvPicPr>
        <xdr:cNvPr id="68" name="Picture 495">
          <a:extLst>
            <a:ext uri="{FF2B5EF4-FFF2-40B4-BE49-F238E27FC236}">
              <a16:creationId xmlns:a16="http://schemas.microsoft.com/office/drawing/2014/main" id="{B07B93BA-C824-4D98-98BB-BA13147CCB7C}"/>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8489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496</xdr:row>
      <xdr:rowOff>0</xdr:rowOff>
    </xdr:from>
    <xdr:to>
      <xdr:col>0</xdr:col>
      <xdr:colOff>152400</xdr:colOff>
      <xdr:row>496</xdr:row>
      <xdr:rowOff>133350</xdr:rowOff>
    </xdr:to>
    <xdr:pic>
      <xdr:nvPicPr>
        <xdr:cNvPr id="69" name="Picture 494">
          <a:extLst>
            <a:ext uri="{FF2B5EF4-FFF2-40B4-BE49-F238E27FC236}">
              <a16:creationId xmlns:a16="http://schemas.microsoft.com/office/drawing/2014/main" id="{3B7329A7-3C5F-49E1-B328-4E826D93D68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0109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497</xdr:row>
      <xdr:rowOff>0</xdr:rowOff>
    </xdr:from>
    <xdr:to>
      <xdr:col>0</xdr:col>
      <xdr:colOff>152400</xdr:colOff>
      <xdr:row>497</xdr:row>
      <xdr:rowOff>133350</xdr:rowOff>
    </xdr:to>
    <xdr:pic>
      <xdr:nvPicPr>
        <xdr:cNvPr id="70" name="Picture 493">
          <a:extLst>
            <a:ext uri="{FF2B5EF4-FFF2-40B4-BE49-F238E27FC236}">
              <a16:creationId xmlns:a16="http://schemas.microsoft.com/office/drawing/2014/main" id="{496DC92E-3F0C-495C-8C22-EAA31CAF5EAE}"/>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1728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498</xdr:row>
      <xdr:rowOff>0</xdr:rowOff>
    </xdr:from>
    <xdr:to>
      <xdr:col>0</xdr:col>
      <xdr:colOff>152400</xdr:colOff>
      <xdr:row>498</xdr:row>
      <xdr:rowOff>133350</xdr:rowOff>
    </xdr:to>
    <xdr:pic>
      <xdr:nvPicPr>
        <xdr:cNvPr id="71" name="Picture 492">
          <a:extLst>
            <a:ext uri="{FF2B5EF4-FFF2-40B4-BE49-F238E27FC236}">
              <a16:creationId xmlns:a16="http://schemas.microsoft.com/office/drawing/2014/main" id="{07CB544E-A178-4498-B5DF-90C5552BF78E}"/>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3347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499</xdr:row>
      <xdr:rowOff>0</xdr:rowOff>
    </xdr:from>
    <xdr:to>
      <xdr:col>0</xdr:col>
      <xdr:colOff>152400</xdr:colOff>
      <xdr:row>499</xdr:row>
      <xdr:rowOff>133350</xdr:rowOff>
    </xdr:to>
    <xdr:pic>
      <xdr:nvPicPr>
        <xdr:cNvPr id="72" name="Picture 491">
          <a:extLst>
            <a:ext uri="{FF2B5EF4-FFF2-40B4-BE49-F238E27FC236}">
              <a16:creationId xmlns:a16="http://schemas.microsoft.com/office/drawing/2014/main" id="{7C23C542-7BAB-4D45-A756-DD17BE49BA0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4966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500</xdr:row>
      <xdr:rowOff>0</xdr:rowOff>
    </xdr:from>
    <xdr:to>
      <xdr:col>0</xdr:col>
      <xdr:colOff>152400</xdr:colOff>
      <xdr:row>500</xdr:row>
      <xdr:rowOff>133350</xdr:rowOff>
    </xdr:to>
    <xdr:pic>
      <xdr:nvPicPr>
        <xdr:cNvPr id="73" name="Picture 490">
          <a:extLst>
            <a:ext uri="{FF2B5EF4-FFF2-40B4-BE49-F238E27FC236}">
              <a16:creationId xmlns:a16="http://schemas.microsoft.com/office/drawing/2014/main" id="{94BF225F-63BE-4E53-BB9B-45A741B8F13E}"/>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6586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501</xdr:row>
      <xdr:rowOff>0</xdr:rowOff>
    </xdr:from>
    <xdr:to>
      <xdr:col>0</xdr:col>
      <xdr:colOff>152400</xdr:colOff>
      <xdr:row>501</xdr:row>
      <xdr:rowOff>133350</xdr:rowOff>
    </xdr:to>
    <xdr:pic>
      <xdr:nvPicPr>
        <xdr:cNvPr id="74" name="Picture 489">
          <a:extLst>
            <a:ext uri="{FF2B5EF4-FFF2-40B4-BE49-F238E27FC236}">
              <a16:creationId xmlns:a16="http://schemas.microsoft.com/office/drawing/2014/main" id="{1258735E-EAB6-40FB-AC9C-6C21F8690F6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8205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502</xdr:row>
      <xdr:rowOff>0</xdr:rowOff>
    </xdr:from>
    <xdr:to>
      <xdr:col>0</xdr:col>
      <xdr:colOff>152400</xdr:colOff>
      <xdr:row>502</xdr:row>
      <xdr:rowOff>133350</xdr:rowOff>
    </xdr:to>
    <xdr:pic>
      <xdr:nvPicPr>
        <xdr:cNvPr id="75" name="Picture 488">
          <a:extLst>
            <a:ext uri="{FF2B5EF4-FFF2-40B4-BE49-F238E27FC236}">
              <a16:creationId xmlns:a16="http://schemas.microsoft.com/office/drawing/2014/main" id="{A800844B-3318-4985-BB26-86B88C6176C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9824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503</xdr:row>
      <xdr:rowOff>0</xdr:rowOff>
    </xdr:from>
    <xdr:to>
      <xdr:col>0</xdr:col>
      <xdr:colOff>152400</xdr:colOff>
      <xdr:row>503</xdr:row>
      <xdr:rowOff>133350</xdr:rowOff>
    </xdr:to>
    <xdr:pic>
      <xdr:nvPicPr>
        <xdr:cNvPr id="76" name="Picture 487">
          <a:extLst>
            <a:ext uri="{FF2B5EF4-FFF2-40B4-BE49-F238E27FC236}">
              <a16:creationId xmlns:a16="http://schemas.microsoft.com/office/drawing/2014/main" id="{1F1831BA-4754-4538-B394-CC346ABD6C8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443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504</xdr:row>
      <xdr:rowOff>0</xdr:rowOff>
    </xdr:from>
    <xdr:to>
      <xdr:col>0</xdr:col>
      <xdr:colOff>152400</xdr:colOff>
      <xdr:row>504</xdr:row>
      <xdr:rowOff>133350</xdr:rowOff>
    </xdr:to>
    <xdr:pic>
      <xdr:nvPicPr>
        <xdr:cNvPr id="77" name="Picture 486">
          <a:extLst>
            <a:ext uri="{FF2B5EF4-FFF2-40B4-BE49-F238E27FC236}">
              <a16:creationId xmlns:a16="http://schemas.microsoft.com/office/drawing/2014/main" id="{0C64CF1A-EB6C-483C-B057-3CF063146CE5}"/>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3063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505</xdr:row>
      <xdr:rowOff>0</xdr:rowOff>
    </xdr:from>
    <xdr:to>
      <xdr:col>0</xdr:col>
      <xdr:colOff>152400</xdr:colOff>
      <xdr:row>505</xdr:row>
      <xdr:rowOff>133350</xdr:rowOff>
    </xdr:to>
    <xdr:pic>
      <xdr:nvPicPr>
        <xdr:cNvPr id="78" name="Picture 485">
          <a:extLst>
            <a:ext uri="{FF2B5EF4-FFF2-40B4-BE49-F238E27FC236}">
              <a16:creationId xmlns:a16="http://schemas.microsoft.com/office/drawing/2014/main" id="{C042DE9D-DA55-4A49-853A-5F7B4BD00B8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4682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444</xdr:row>
      <xdr:rowOff>0</xdr:rowOff>
    </xdr:from>
    <xdr:to>
      <xdr:col>0</xdr:col>
      <xdr:colOff>152400</xdr:colOff>
      <xdr:row>444</xdr:row>
      <xdr:rowOff>133350</xdr:rowOff>
    </xdr:to>
    <xdr:pic>
      <xdr:nvPicPr>
        <xdr:cNvPr id="79" name="Picture 484">
          <a:extLst>
            <a:ext uri="{FF2B5EF4-FFF2-40B4-BE49-F238E27FC236}">
              <a16:creationId xmlns:a16="http://schemas.microsoft.com/office/drawing/2014/main" id="{9FB5D550-3EE5-4B68-8E8D-74E411B54EF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6301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445</xdr:row>
      <xdr:rowOff>0</xdr:rowOff>
    </xdr:from>
    <xdr:to>
      <xdr:col>0</xdr:col>
      <xdr:colOff>152400</xdr:colOff>
      <xdr:row>445</xdr:row>
      <xdr:rowOff>133350</xdr:rowOff>
    </xdr:to>
    <xdr:pic>
      <xdr:nvPicPr>
        <xdr:cNvPr id="80" name="Picture 483">
          <a:extLst>
            <a:ext uri="{FF2B5EF4-FFF2-40B4-BE49-F238E27FC236}">
              <a16:creationId xmlns:a16="http://schemas.microsoft.com/office/drawing/2014/main" id="{0F377D79-886A-413F-B5AA-0B450391D94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7920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446</xdr:row>
      <xdr:rowOff>0</xdr:rowOff>
    </xdr:from>
    <xdr:to>
      <xdr:col>0</xdr:col>
      <xdr:colOff>152400</xdr:colOff>
      <xdr:row>446</xdr:row>
      <xdr:rowOff>133350</xdr:rowOff>
    </xdr:to>
    <xdr:pic>
      <xdr:nvPicPr>
        <xdr:cNvPr id="81" name="Picture 482">
          <a:extLst>
            <a:ext uri="{FF2B5EF4-FFF2-40B4-BE49-F238E27FC236}">
              <a16:creationId xmlns:a16="http://schemas.microsoft.com/office/drawing/2014/main" id="{5ECE9F8D-1D91-4676-B75F-DBB5E03BA93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9540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447</xdr:row>
      <xdr:rowOff>0</xdr:rowOff>
    </xdr:from>
    <xdr:to>
      <xdr:col>0</xdr:col>
      <xdr:colOff>152400</xdr:colOff>
      <xdr:row>447</xdr:row>
      <xdr:rowOff>133350</xdr:rowOff>
    </xdr:to>
    <xdr:pic>
      <xdr:nvPicPr>
        <xdr:cNvPr id="82" name="Picture 481">
          <a:extLst>
            <a:ext uri="{FF2B5EF4-FFF2-40B4-BE49-F238E27FC236}">
              <a16:creationId xmlns:a16="http://schemas.microsoft.com/office/drawing/2014/main" id="{740E9E95-00AD-47AB-A947-FF58CDFBBA5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1159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448</xdr:row>
      <xdr:rowOff>0</xdr:rowOff>
    </xdr:from>
    <xdr:to>
      <xdr:col>0</xdr:col>
      <xdr:colOff>152400</xdr:colOff>
      <xdr:row>448</xdr:row>
      <xdr:rowOff>133350</xdr:rowOff>
    </xdr:to>
    <xdr:pic>
      <xdr:nvPicPr>
        <xdr:cNvPr id="83" name="Picture 480">
          <a:extLst>
            <a:ext uri="{FF2B5EF4-FFF2-40B4-BE49-F238E27FC236}">
              <a16:creationId xmlns:a16="http://schemas.microsoft.com/office/drawing/2014/main" id="{406E65DD-551D-434E-92C0-6DEF5B33CB8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2778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449</xdr:row>
      <xdr:rowOff>0</xdr:rowOff>
    </xdr:from>
    <xdr:to>
      <xdr:col>0</xdr:col>
      <xdr:colOff>152400</xdr:colOff>
      <xdr:row>449</xdr:row>
      <xdr:rowOff>133350</xdr:rowOff>
    </xdr:to>
    <xdr:pic>
      <xdr:nvPicPr>
        <xdr:cNvPr id="84" name="Picture 479">
          <a:extLst>
            <a:ext uri="{FF2B5EF4-FFF2-40B4-BE49-F238E27FC236}">
              <a16:creationId xmlns:a16="http://schemas.microsoft.com/office/drawing/2014/main" id="{CBD9F1DD-D8B5-470D-9C5F-A21681D3854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397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450</xdr:row>
      <xdr:rowOff>0</xdr:rowOff>
    </xdr:from>
    <xdr:to>
      <xdr:col>0</xdr:col>
      <xdr:colOff>152400</xdr:colOff>
      <xdr:row>450</xdr:row>
      <xdr:rowOff>133350</xdr:rowOff>
    </xdr:to>
    <xdr:pic>
      <xdr:nvPicPr>
        <xdr:cNvPr id="85" name="Picture 478">
          <a:extLst>
            <a:ext uri="{FF2B5EF4-FFF2-40B4-BE49-F238E27FC236}">
              <a16:creationId xmlns:a16="http://schemas.microsoft.com/office/drawing/2014/main" id="{1A377A18-39B5-47E1-9152-AE643A29438C}"/>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6017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451</xdr:row>
      <xdr:rowOff>0</xdr:rowOff>
    </xdr:from>
    <xdr:to>
      <xdr:col>0</xdr:col>
      <xdr:colOff>152400</xdr:colOff>
      <xdr:row>451</xdr:row>
      <xdr:rowOff>133350</xdr:rowOff>
    </xdr:to>
    <xdr:pic>
      <xdr:nvPicPr>
        <xdr:cNvPr id="86" name="Picture 477">
          <a:extLst>
            <a:ext uri="{FF2B5EF4-FFF2-40B4-BE49-F238E27FC236}">
              <a16:creationId xmlns:a16="http://schemas.microsoft.com/office/drawing/2014/main" id="{32C82E77-1C77-471E-85BF-D0B50E668E5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7636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452</xdr:row>
      <xdr:rowOff>0</xdr:rowOff>
    </xdr:from>
    <xdr:to>
      <xdr:col>0</xdr:col>
      <xdr:colOff>152400</xdr:colOff>
      <xdr:row>452</xdr:row>
      <xdr:rowOff>133350</xdr:rowOff>
    </xdr:to>
    <xdr:pic>
      <xdr:nvPicPr>
        <xdr:cNvPr id="87" name="Picture 476">
          <a:extLst>
            <a:ext uri="{FF2B5EF4-FFF2-40B4-BE49-F238E27FC236}">
              <a16:creationId xmlns:a16="http://schemas.microsoft.com/office/drawing/2014/main" id="{131E912B-E343-4632-B58A-2327BCBA0ED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9255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453</xdr:row>
      <xdr:rowOff>0</xdr:rowOff>
    </xdr:from>
    <xdr:to>
      <xdr:col>0</xdr:col>
      <xdr:colOff>152400</xdr:colOff>
      <xdr:row>453</xdr:row>
      <xdr:rowOff>133350</xdr:rowOff>
    </xdr:to>
    <xdr:pic>
      <xdr:nvPicPr>
        <xdr:cNvPr id="88" name="Picture 475">
          <a:extLst>
            <a:ext uri="{FF2B5EF4-FFF2-40B4-BE49-F238E27FC236}">
              <a16:creationId xmlns:a16="http://schemas.microsoft.com/office/drawing/2014/main" id="{4C193A84-9DB5-4BF1-9BE1-9174CD02607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0874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454</xdr:row>
      <xdr:rowOff>0</xdr:rowOff>
    </xdr:from>
    <xdr:to>
      <xdr:col>0</xdr:col>
      <xdr:colOff>152400</xdr:colOff>
      <xdr:row>454</xdr:row>
      <xdr:rowOff>133350</xdr:rowOff>
    </xdr:to>
    <xdr:pic>
      <xdr:nvPicPr>
        <xdr:cNvPr id="89" name="Picture 474">
          <a:extLst>
            <a:ext uri="{FF2B5EF4-FFF2-40B4-BE49-F238E27FC236}">
              <a16:creationId xmlns:a16="http://schemas.microsoft.com/office/drawing/2014/main" id="{6E8E6985-178F-449B-8758-A0C83E0B021A}"/>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2494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455</xdr:row>
      <xdr:rowOff>0</xdr:rowOff>
    </xdr:from>
    <xdr:to>
      <xdr:col>0</xdr:col>
      <xdr:colOff>152400</xdr:colOff>
      <xdr:row>455</xdr:row>
      <xdr:rowOff>133350</xdr:rowOff>
    </xdr:to>
    <xdr:pic>
      <xdr:nvPicPr>
        <xdr:cNvPr id="90" name="Picture 473">
          <a:extLst>
            <a:ext uri="{FF2B5EF4-FFF2-40B4-BE49-F238E27FC236}">
              <a16:creationId xmlns:a16="http://schemas.microsoft.com/office/drawing/2014/main" id="{731EE79C-159D-4F65-9D41-8F82BF406B2B}"/>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113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456</xdr:row>
      <xdr:rowOff>0</xdr:rowOff>
    </xdr:from>
    <xdr:to>
      <xdr:col>0</xdr:col>
      <xdr:colOff>152400</xdr:colOff>
      <xdr:row>456</xdr:row>
      <xdr:rowOff>133350</xdr:rowOff>
    </xdr:to>
    <xdr:pic>
      <xdr:nvPicPr>
        <xdr:cNvPr id="91" name="Picture 472">
          <a:extLst>
            <a:ext uri="{FF2B5EF4-FFF2-40B4-BE49-F238E27FC236}">
              <a16:creationId xmlns:a16="http://schemas.microsoft.com/office/drawing/2014/main" id="{9F98AD95-577B-4804-908F-531858A2323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732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457</xdr:row>
      <xdr:rowOff>0</xdr:rowOff>
    </xdr:from>
    <xdr:to>
      <xdr:col>0</xdr:col>
      <xdr:colOff>152400</xdr:colOff>
      <xdr:row>457</xdr:row>
      <xdr:rowOff>133350</xdr:rowOff>
    </xdr:to>
    <xdr:pic>
      <xdr:nvPicPr>
        <xdr:cNvPr id="92" name="Picture 471">
          <a:extLst>
            <a:ext uri="{FF2B5EF4-FFF2-40B4-BE49-F238E27FC236}">
              <a16:creationId xmlns:a16="http://schemas.microsoft.com/office/drawing/2014/main" id="{0E14FE5E-D2F2-4C3F-9EB8-FB52D4DDC58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7351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458</xdr:row>
      <xdr:rowOff>0</xdr:rowOff>
    </xdr:from>
    <xdr:to>
      <xdr:col>0</xdr:col>
      <xdr:colOff>152400</xdr:colOff>
      <xdr:row>458</xdr:row>
      <xdr:rowOff>133350</xdr:rowOff>
    </xdr:to>
    <xdr:pic>
      <xdr:nvPicPr>
        <xdr:cNvPr id="93" name="Picture 470">
          <a:extLst>
            <a:ext uri="{FF2B5EF4-FFF2-40B4-BE49-F238E27FC236}">
              <a16:creationId xmlns:a16="http://schemas.microsoft.com/office/drawing/2014/main" id="{195C4F8E-AD44-431E-9D3A-D166BB7D5A7B}"/>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971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459</xdr:row>
      <xdr:rowOff>0</xdr:rowOff>
    </xdr:from>
    <xdr:to>
      <xdr:col>0</xdr:col>
      <xdr:colOff>152400</xdr:colOff>
      <xdr:row>459</xdr:row>
      <xdr:rowOff>133350</xdr:rowOff>
    </xdr:to>
    <xdr:pic>
      <xdr:nvPicPr>
        <xdr:cNvPr id="94" name="Picture 469">
          <a:extLst>
            <a:ext uri="{FF2B5EF4-FFF2-40B4-BE49-F238E27FC236}">
              <a16:creationId xmlns:a16="http://schemas.microsoft.com/office/drawing/2014/main" id="{AE6447EC-AB76-4F88-BD90-38C588084C2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590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460</xdr:row>
      <xdr:rowOff>0</xdr:rowOff>
    </xdr:from>
    <xdr:to>
      <xdr:col>0</xdr:col>
      <xdr:colOff>152400</xdr:colOff>
      <xdr:row>460</xdr:row>
      <xdr:rowOff>133350</xdr:rowOff>
    </xdr:to>
    <xdr:pic>
      <xdr:nvPicPr>
        <xdr:cNvPr id="95" name="Picture 468">
          <a:extLst>
            <a:ext uri="{FF2B5EF4-FFF2-40B4-BE49-F238E27FC236}">
              <a16:creationId xmlns:a16="http://schemas.microsoft.com/office/drawing/2014/main" id="{1C0C1672-30E3-411E-9FF3-80F4A62CBFB8}"/>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2209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461</xdr:row>
      <xdr:rowOff>0</xdr:rowOff>
    </xdr:from>
    <xdr:to>
      <xdr:col>0</xdr:col>
      <xdr:colOff>152400</xdr:colOff>
      <xdr:row>461</xdr:row>
      <xdr:rowOff>133350</xdr:rowOff>
    </xdr:to>
    <xdr:pic>
      <xdr:nvPicPr>
        <xdr:cNvPr id="96" name="Picture 467">
          <a:extLst>
            <a:ext uri="{FF2B5EF4-FFF2-40B4-BE49-F238E27FC236}">
              <a16:creationId xmlns:a16="http://schemas.microsoft.com/office/drawing/2014/main" id="{CFEC90D7-A7E1-4F89-A6C5-8F9DBB62ABE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3828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462</xdr:row>
      <xdr:rowOff>0</xdr:rowOff>
    </xdr:from>
    <xdr:to>
      <xdr:col>0</xdr:col>
      <xdr:colOff>152400</xdr:colOff>
      <xdr:row>462</xdr:row>
      <xdr:rowOff>133350</xdr:rowOff>
    </xdr:to>
    <xdr:pic>
      <xdr:nvPicPr>
        <xdr:cNvPr id="97" name="Picture 466">
          <a:extLst>
            <a:ext uri="{FF2B5EF4-FFF2-40B4-BE49-F238E27FC236}">
              <a16:creationId xmlns:a16="http://schemas.microsoft.com/office/drawing/2014/main" id="{F574A153-DDD0-48EC-9B7D-75C7C82FDF6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5448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416</xdr:row>
      <xdr:rowOff>0</xdr:rowOff>
    </xdr:from>
    <xdr:to>
      <xdr:col>0</xdr:col>
      <xdr:colOff>152400</xdr:colOff>
      <xdr:row>416</xdr:row>
      <xdr:rowOff>133350</xdr:rowOff>
    </xdr:to>
    <xdr:pic>
      <xdr:nvPicPr>
        <xdr:cNvPr id="98" name="Picture 465">
          <a:extLst>
            <a:ext uri="{FF2B5EF4-FFF2-40B4-BE49-F238E27FC236}">
              <a16:creationId xmlns:a16="http://schemas.microsoft.com/office/drawing/2014/main" id="{A3EE66FE-1EA8-476C-B096-3A89AA11D713}"/>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7067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417</xdr:row>
      <xdr:rowOff>0</xdr:rowOff>
    </xdr:from>
    <xdr:to>
      <xdr:col>0</xdr:col>
      <xdr:colOff>152400</xdr:colOff>
      <xdr:row>417</xdr:row>
      <xdr:rowOff>133350</xdr:rowOff>
    </xdr:to>
    <xdr:pic>
      <xdr:nvPicPr>
        <xdr:cNvPr id="99" name="Picture 464">
          <a:extLst>
            <a:ext uri="{FF2B5EF4-FFF2-40B4-BE49-F238E27FC236}">
              <a16:creationId xmlns:a16="http://schemas.microsoft.com/office/drawing/2014/main" id="{AC15E9B7-D010-4B41-965A-F957281163B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8686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418</xdr:row>
      <xdr:rowOff>0</xdr:rowOff>
    </xdr:from>
    <xdr:to>
      <xdr:col>0</xdr:col>
      <xdr:colOff>152400</xdr:colOff>
      <xdr:row>418</xdr:row>
      <xdr:rowOff>133350</xdr:rowOff>
    </xdr:to>
    <xdr:pic>
      <xdr:nvPicPr>
        <xdr:cNvPr id="100" name="Picture 463">
          <a:extLst>
            <a:ext uri="{FF2B5EF4-FFF2-40B4-BE49-F238E27FC236}">
              <a16:creationId xmlns:a16="http://schemas.microsoft.com/office/drawing/2014/main" id="{BAC64366-8206-4DA3-926C-25E2F2F1FE7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0305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419</xdr:row>
      <xdr:rowOff>0</xdr:rowOff>
    </xdr:from>
    <xdr:to>
      <xdr:col>0</xdr:col>
      <xdr:colOff>152400</xdr:colOff>
      <xdr:row>419</xdr:row>
      <xdr:rowOff>133350</xdr:rowOff>
    </xdr:to>
    <xdr:pic>
      <xdr:nvPicPr>
        <xdr:cNvPr id="101" name="Picture 462">
          <a:extLst>
            <a:ext uri="{FF2B5EF4-FFF2-40B4-BE49-F238E27FC236}">
              <a16:creationId xmlns:a16="http://schemas.microsoft.com/office/drawing/2014/main" id="{7D5D9689-476A-4776-AB73-3FE91602C31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1925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420</xdr:row>
      <xdr:rowOff>0</xdr:rowOff>
    </xdr:from>
    <xdr:to>
      <xdr:col>0</xdr:col>
      <xdr:colOff>152400</xdr:colOff>
      <xdr:row>420</xdr:row>
      <xdr:rowOff>133350</xdr:rowOff>
    </xdr:to>
    <xdr:pic>
      <xdr:nvPicPr>
        <xdr:cNvPr id="102" name="Picture 461">
          <a:extLst>
            <a:ext uri="{FF2B5EF4-FFF2-40B4-BE49-F238E27FC236}">
              <a16:creationId xmlns:a16="http://schemas.microsoft.com/office/drawing/2014/main" id="{7DA9B73D-36E7-43AC-BE7D-0B2E68C108C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3544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421</xdr:row>
      <xdr:rowOff>0</xdr:rowOff>
    </xdr:from>
    <xdr:to>
      <xdr:col>0</xdr:col>
      <xdr:colOff>152400</xdr:colOff>
      <xdr:row>421</xdr:row>
      <xdr:rowOff>133350</xdr:rowOff>
    </xdr:to>
    <xdr:pic>
      <xdr:nvPicPr>
        <xdr:cNvPr id="103" name="Picture 460">
          <a:extLst>
            <a:ext uri="{FF2B5EF4-FFF2-40B4-BE49-F238E27FC236}">
              <a16:creationId xmlns:a16="http://schemas.microsoft.com/office/drawing/2014/main" id="{F319D46E-FE6F-4110-9DE9-F61CC4D124C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5163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422</xdr:row>
      <xdr:rowOff>0</xdr:rowOff>
    </xdr:from>
    <xdr:to>
      <xdr:col>0</xdr:col>
      <xdr:colOff>152400</xdr:colOff>
      <xdr:row>422</xdr:row>
      <xdr:rowOff>133350</xdr:rowOff>
    </xdr:to>
    <xdr:pic>
      <xdr:nvPicPr>
        <xdr:cNvPr id="104" name="Picture 459">
          <a:extLst>
            <a:ext uri="{FF2B5EF4-FFF2-40B4-BE49-F238E27FC236}">
              <a16:creationId xmlns:a16="http://schemas.microsoft.com/office/drawing/2014/main" id="{549B8039-9405-472F-A903-6D33F420259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6782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423</xdr:row>
      <xdr:rowOff>0</xdr:rowOff>
    </xdr:from>
    <xdr:to>
      <xdr:col>0</xdr:col>
      <xdr:colOff>152400</xdr:colOff>
      <xdr:row>423</xdr:row>
      <xdr:rowOff>133350</xdr:rowOff>
    </xdr:to>
    <xdr:pic>
      <xdr:nvPicPr>
        <xdr:cNvPr id="105" name="Picture 458">
          <a:extLst>
            <a:ext uri="{FF2B5EF4-FFF2-40B4-BE49-F238E27FC236}">
              <a16:creationId xmlns:a16="http://schemas.microsoft.com/office/drawing/2014/main" id="{8DDEB383-C298-4882-A960-4758CF09B19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8402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424</xdr:row>
      <xdr:rowOff>0</xdr:rowOff>
    </xdr:from>
    <xdr:to>
      <xdr:col>0</xdr:col>
      <xdr:colOff>152400</xdr:colOff>
      <xdr:row>424</xdr:row>
      <xdr:rowOff>133350</xdr:rowOff>
    </xdr:to>
    <xdr:pic>
      <xdr:nvPicPr>
        <xdr:cNvPr id="106" name="Picture 457">
          <a:extLst>
            <a:ext uri="{FF2B5EF4-FFF2-40B4-BE49-F238E27FC236}">
              <a16:creationId xmlns:a16="http://schemas.microsoft.com/office/drawing/2014/main" id="{74E2A965-6724-4641-A583-CDE87D4DE6C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0021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425</xdr:row>
      <xdr:rowOff>0</xdr:rowOff>
    </xdr:from>
    <xdr:to>
      <xdr:col>0</xdr:col>
      <xdr:colOff>152400</xdr:colOff>
      <xdr:row>425</xdr:row>
      <xdr:rowOff>133350</xdr:rowOff>
    </xdr:to>
    <xdr:pic>
      <xdr:nvPicPr>
        <xdr:cNvPr id="107" name="Picture 456">
          <a:extLst>
            <a:ext uri="{FF2B5EF4-FFF2-40B4-BE49-F238E27FC236}">
              <a16:creationId xmlns:a16="http://schemas.microsoft.com/office/drawing/2014/main" id="{1E408598-B860-49EE-AADE-D7B149F5EE5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1640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426</xdr:row>
      <xdr:rowOff>0</xdr:rowOff>
    </xdr:from>
    <xdr:to>
      <xdr:col>0</xdr:col>
      <xdr:colOff>152400</xdr:colOff>
      <xdr:row>426</xdr:row>
      <xdr:rowOff>133350</xdr:rowOff>
    </xdr:to>
    <xdr:pic>
      <xdr:nvPicPr>
        <xdr:cNvPr id="108" name="Picture 455">
          <a:extLst>
            <a:ext uri="{FF2B5EF4-FFF2-40B4-BE49-F238E27FC236}">
              <a16:creationId xmlns:a16="http://schemas.microsoft.com/office/drawing/2014/main" id="{8F66FE7E-BC8D-463F-AD4F-A99AADB859C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3259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427</xdr:row>
      <xdr:rowOff>0</xdr:rowOff>
    </xdr:from>
    <xdr:to>
      <xdr:col>0</xdr:col>
      <xdr:colOff>152400</xdr:colOff>
      <xdr:row>427</xdr:row>
      <xdr:rowOff>133350</xdr:rowOff>
    </xdr:to>
    <xdr:pic>
      <xdr:nvPicPr>
        <xdr:cNvPr id="109" name="Picture 454">
          <a:extLst>
            <a:ext uri="{FF2B5EF4-FFF2-40B4-BE49-F238E27FC236}">
              <a16:creationId xmlns:a16="http://schemas.microsoft.com/office/drawing/2014/main" id="{77EFFB85-3B16-4685-A0B9-89FF3ACC21F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4879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428</xdr:row>
      <xdr:rowOff>0</xdr:rowOff>
    </xdr:from>
    <xdr:to>
      <xdr:col>0</xdr:col>
      <xdr:colOff>152400</xdr:colOff>
      <xdr:row>428</xdr:row>
      <xdr:rowOff>133350</xdr:rowOff>
    </xdr:to>
    <xdr:pic>
      <xdr:nvPicPr>
        <xdr:cNvPr id="110" name="Picture 453">
          <a:extLst>
            <a:ext uri="{FF2B5EF4-FFF2-40B4-BE49-F238E27FC236}">
              <a16:creationId xmlns:a16="http://schemas.microsoft.com/office/drawing/2014/main" id="{9AC814C8-BAA8-4329-BCDB-E5049ECCCBC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6498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429</xdr:row>
      <xdr:rowOff>0</xdr:rowOff>
    </xdr:from>
    <xdr:to>
      <xdr:col>0</xdr:col>
      <xdr:colOff>152400</xdr:colOff>
      <xdr:row>429</xdr:row>
      <xdr:rowOff>133350</xdr:rowOff>
    </xdr:to>
    <xdr:pic>
      <xdr:nvPicPr>
        <xdr:cNvPr id="111" name="Picture 452">
          <a:extLst>
            <a:ext uri="{FF2B5EF4-FFF2-40B4-BE49-F238E27FC236}">
              <a16:creationId xmlns:a16="http://schemas.microsoft.com/office/drawing/2014/main" id="{137117F0-ACCA-47C3-AD6E-DFA79E53DF6A}"/>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8117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430</xdr:row>
      <xdr:rowOff>0</xdr:rowOff>
    </xdr:from>
    <xdr:to>
      <xdr:col>0</xdr:col>
      <xdr:colOff>152400</xdr:colOff>
      <xdr:row>430</xdr:row>
      <xdr:rowOff>133350</xdr:rowOff>
    </xdr:to>
    <xdr:pic>
      <xdr:nvPicPr>
        <xdr:cNvPr id="112" name="Picture 451">
          <a:extLst>
            <a:ext uri="{FF2B5EF4-FFF2-40B4-BE49-F238E27FC236}">
              <a16:creationId xmlns:a16="http://schemas.microsoft.com/office/drawing/2014/main" id="{575E4A67-BF69-485E-936A-8EDA4D61E28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9736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431</xdr:row>
      <xdr:rowOff>0</xdr:rowOff>
    </xdr:from>
    <xdr:to>
      <xdr:col>0</xdr:col>
      <xdr:colOff>152400</xdr:colOff>
      <xdr:row>431</xdr:row>
      <xdr:rowOff>133350</xdr:rowOff>
    </xdr:to>
    <xdr:pic>
      <xdr:nvPicPr>
        <xdr:cNvPr id="113" name="Picture 450">
          <a:extLst>
            <a:ext uri="{FF2B5EF4-FFF2-40B4-BE49-F238E27FC236}">
              <a16:creationId xmlns:a16="http://schemas.microsoft.com/office/drawing/2014/main" id="{A9E3BE84-806F-454E-B821-3DFCEDF1352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1356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432</xdr:row>
      <xdr:rowOff>0</xdr:rowOff>
    </xdr:from>
    <xdr:to>
      <xdr:col>0</xdr:col>
      <xdr:colOff>152400</xdr:colOff>
      <xdr:row>432</xdr:row>
      <xdr:rowOff>133350</xdr:rowOff>
    </xdr:to>
    <xdr:pic>
      <xdr:nvPicPr>
        <xdr:cNvPr id="114" name="Picture 449">
          <a:extLst>
            <a:ext uri="{FF2B5EF4-FFF2-40B4-BE49-F238E27FC236}">
              <a16:creationId xmlns:a16="http://schemas.microsoft.com/office/drawing/2014/main" id="{606BEBAB-41DC-489D-A909-A463D718632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2975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433</xdr:row>
      <xdr:rowOff>0</xdr:rowOff>
    </xdr:from>
    <xdr:to>
      <xdr:col>0</xdr:col>
      <xdr:colOff>152400</xdr:colOff>
      <xdr:row>433</xdr:row>
      <xdr:rowOff>133350</xdr:rowOff>
    </xdr:to>
    <xdr:pic>
      <xdr:nvPicPr>
        <xdr:cNvPr id="115" name="Picture 448">
          <a:extLst>
            <a:ext uri="{FF2B5EF4-FFF2-40B4-BE49-F238E27FC236}">
              <a16:creationId xmlns:a16="http://schemas.microsoft.com/office/drawing/2014/main" id="{4411B743-A90B-4444-B448-166F7FF05FA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4594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434</xdr:row>
      <xdr:rowOff>0</xdr:rowOff>
    </xdr:from>
    <xdr:to>
      <xdr:col>0</xdr:col>
      <xdr:colOff>152400</xdr:colOff>
      <xdr:row>434</xdr:row>
      <xdr:rowOff>133350</xdr:rowOff>
    </xdr:to>
    <xdr:pic>
      <xdr:nvPicPr>
        <xdr:cNvPr id="116" name="Picture 447">
          <a:extLst>
            <a:ext uri="{FF2B5EF4-FFF2-40B4-BE49-F238E27FC236}">
              <a16:creationId xmlns:a16="http://schemas.microsoft.com/office/drawing/2014/main" id="{5FB08E66-0EF6-46ED-B7A5-0E084F253E6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6213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435</xdr:row>
      <xdr:rowOff>0</xdr:rowOff>
    </xdr:from>
    <xdr:to>
      <xdr:col>0</xdr:col>
      <xdr:colOff>152400</xdr:colOff>
      <xdr:row>435</xdr:row>
      <xdr:rowOff>133350</xdr:rowOff>
    </xdr:to>
    <xdr:pic>
      <xdr:nvPicPr>
        <xdr:cNvPr id="117" name="Picture 446">
          <a:extLst>
            <a:ext uri="{FF2B5EF4-FFF2-40B4-BE49-F238E27FC236}">
              <a16:creationId xmlns:a16="http://schemas.microsoft.com/office/drawing/2014/main" id="{1ED9AC4C-1CB8-4E85-BDBD-016DC20FA0F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7833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436</xdr:row>
      <xdr:rowOff>0</xdr:rowOff>
    </xdr:from>
    <xdr:to>
      <xdr:col>0</xdr:col>
      <xdr:colOff>152400</xdr:colOff>
      <xdr:row>436</xdr:row>
      <xdr:rowOff>133350</xdr:rowOff>
    </xdr:to>
    <xdr:pic>
      <xdr:nvPicPr>
        <xdr:cNvPr id="118" name="Picture 445">
          <a:extLst>
            <a:ext uri="{FF2B5EF4-FFF2-40B4-BE49-F238E27FC236}">
              <a16:creationId xmlns:a16="http://schemas.microsoft.com/office/drawing/2014/main" id="{EDFDD2F0-E5D9-4934-B7AB-A04E53E6E68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9452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437</xdr:row>
      <xdr:rowOff>0</xdr:rowOff>
    </xdr:from>
    <xdr:to>
      <xdr:col>0</xdr:col>
      <xdr:colOff>152400</xdr:colOff>
      <xdr:row>437</xdr:row>
      <xdr:rowOff>133350</xdr:rowOff>
    </xdr:to>
    <xdr:pic>
      <xdr:nvPicPr>
        <xdr:cNvPr id="119" name="Picture 444">
          <a:extLst>
            <a:ext uri="{FF2B5EF4-FFF2-40B4-BE49-F238E27FC236}">
              <a16:creationId xmlns:a16="http://schemas.microsoft.com/office/drawing/2014/main" id="{BAD9F2BD-FB3B-4751-AA9B-F9BD075BF573}"/>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1071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438</xdr:row>
      <xdr:rowOff>0</xdr:rowOff>
    </xdr:from>
    <xdr:to>
      <xdr:col>0</xdr:col>
      <xdr:colOff>152400</xdr:colOff>
      <xdr:row>438</xdr:row>
      <xdr:rowOff>133350</xdr:rowOff>
    </xdr:to>
    <xdr:pic>
      <xdr:nvPicPr>
        <xdr:cNvPr id="120" name="Picture 443">
          <a:extLst>
            <a:ext uri="{FF2B5EF4-FFF2-40B4-BE49-F238E27FC236}">
              <a16:creationId xmlns:a16="http://schemas.microsoft.com/office/drawing/2014/main" id="{64655DFB-D7E3-44CC-976D-21E53E86120C}"/>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2690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439</xdr:row>
      <xdr:rowOff>0</xdr:rowOff>
    </xdr:from>
    <xdr:to>
      <xdr:col>0</xdr:col>
      <xdr:colOff>152400</xdr:colOff>
      <xdr:row>439</xdr:row>
      <xdr:rowOff>133350</xdr:rowOff>
    </xdr:to>
    <xdr:pic>
      <xdr:nvPicPr>
        <xdr:cNvPr id="121" name="Picture 442">
          <a:extLst>
            <a:ext uri="{FF2B5EF4-FFF2-40B4-BE49-F238E27FC236}">
              <a16:creationId xmlns:a16="http://schemas.microsoft.com/office/drawing/2014/main" id="{3AC54113-DC5F-4F2D-97F2-30CDB31F658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4310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440</xdr:row>
      <xdr:rowOff>0</xdr:rowOff>
    </xdr:from>
    <xdr:to>
      <xdr:col>0</xdr:col>
      <xdr:colOff>152400</xdr:colOff>
      <xdr:row>440</xdr:row>
      <xdr:rowOff>133350</xdr:rowOff>
    </xdr:to>
    <xdr:pic>
      <xdr:nvPicPr>
        <xdr:cNvPr id="122" name="Picture 441">
          <a:extLst>
            <a:ext uri="{FF2B5EF4-FFF2-40B4-BE49-F238E27FC236}">
              <a16:creationId xmlns:a16="http://schemas.microsoft.com/office/drawing/2014/main" id="{762D91C3-ECCE-4D78-95E5-952293CE97BA}"/>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5929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441</xdr:row>
      <xdr:rowOff>0</xdr:rowOff>
    </xdr:from>
    <xdr:to>
      <xdr:col>0</xdr:col>
      <xdr:colOff>152400</xdr:colOff>
      <xdr:row>441</xdr:row>
      <xdr:rowOff>133350</xdr:rowOff>
    </xdr:to>
    <xdr:pic>
      <xdr:nvPicPr>
        <xdr:cNvPr id="123" name="Picture 440">
          <a:extLst>
            <a:ext uri="{FF2B5EF4-FFF2-40B4-BE49-F238E27FC236}">
              <a16:creationId xmlns:a16="http://schemas.microsoft.com/office/drawing/2014/main" id="{3664E137-8412-45B9-883D-716B2273DD65}"/>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7548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442</xdr:row>
      <xdr:rowOff>0</xdr:rowOff>
    </xdr:from>
    <xdr:to>
      <xdr:col>0</xdr:col>
      <xdr:colOff>152400</xdr:colOff>
      <xdr:row>442</xdr:row>
      <xdr:rowOff>133350</xdr:rowOff>
    </xdr:to>
    <xdr:pic>
      <xdr:nvPicPr>
        <xdr:cNvPr id="124" name="Picture 439">
          <a:extLst>
            <a:ext uri="{FF2B5EF4-FFF2-40B4-BE49-F238E27FC236}">
              <a16:creationId xmlns:a16="http://schemas.microsoft.com/office/drawing/2014/main" id="{B555AF66-E2D2-4AD4-8F43-A5FCC861431E}"/>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9167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443</xdr:row>
      <xdr:rowOff>0</xdr:rowOff>
    </xdr:from>
    <xdr:to>
      <xdr:col>0</xdr:col>
      <xdr:colOff>152400</xdr:colOff>
      <xdr:row>443</xdr:row>
      <xdr:rowOff>133350</xdr:rowOff>
    </xdr:to>
    <xdr:pic>
      <xdr:nvPicPr>
        <xdr:cNvPr id="125" name="Picture 438">
          <a:extLst>
            <a:ext uri="{FF2B5EF4-FFF2-40B4-BE49-F238E27FC236}">
              <a16:creationId xmlns:a16="http://schemas.microsoft.com/office/drawing/2014/main" id="{3F85731D-8AEB-4D66-A0E7-7FE7001FE2E3}"/>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0787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401</xdr:row>
      <xdr:rowOff>0</xdr:rowOff>
    </xdr:from>
    <xdr:to>
      <xdr:col>0</xdr:col>
      <xdr:colOff>152400</xdr:colOff>
      <xdr:row>401</xdr:row>
      <xdr:rowOff>133350</xdr:rowOff>
    </xdr:to>
    <xdr:pic>
      <xdr:nvPicPr>
        <xdr:cNvPr id="126" name="Picture 437">
          <a:extLst>
            <a:ext uri="{FF2B5EF4-FFF2-40B4-BE49-F238E27FC236}">
              <a16:creationId xmlns:a16="http://schemas.microsoft.com/office/drawing/2014/main" id="{754545F0-E4CB-49D2-BE6F-0C838D5B2C2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2406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402</xdr:row>
      <xdr:rowOff>0</xdr:rowOff>
    </xdr:from>
    <xdr:to>
      <xdr:col>0</xdr:col>
      <xdr:colOff>152400</xdr:colOff>
      <xdr:row>402</xdr:row>
      <xdr:rowOff>133350</xdr:rowOff>
    </xdr:to>
    <xdr:pic>
      <xdr:nvPicPr>
        <xdr:cNvPr id="127" name="Picture 436">
          <a:extLst>
            <a:ext uri="{FF2B5EF4-FFF2-40B4-BE49-F238E27FC236}">
              <a16:creationId xmlns:a16="http://schemas.microsoft.com/office/drawing/2014/main" id="{46EF4852-9EAD-4D03-9A49-DD9B1B73C95A}"/>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4025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403</xdr:row>
      <xdr:rowOff>0</xdr:rowOff>
    </xdr:from>
    <xdr:to>
      <xdr:col>0</xdr:col>
      <xdr:colOff>152400</xdr:colOff>
      <xdr:row>403</xdr:row>
      <xdr:rowOff>133350</xdr:rowOff>
    </xdr:to>
    <xdr:pic>
      <xdr:nvPicPr>
        <xdr:cNvPr id="128" name="Picture 435">
          <a:extLst>
            <a:ext uri="{FF2B5EF4-FFF2-40B4-BE49-F238E27FC236}">
              <a16:creationId xmlns:a16="http://schemas.microsoft.com/office/drawing/2014/main" id="{76D24E96-3C63-47D5-869E-EB0D3D138C4B}"/>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5644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404</xdr:row>
      <xdr:rowOff>0</xdr:rowOff>
    </xdr:from>
    <xdr:to>
      <xdr:col>0</xdr:col>
      <xdr:colOff>152400</xdr:colOff>
      <xdr:row>404</xdr:row>
      <xdr:rowOff>133350</xdr:rowOff>
    </xdr:to>
    <xdr:pic>
      <xdr:nvPicPr>
        <xdr:cNvPr id="129" name="Picture 434">
          <a:extLst>
            <a:ext uri="{FF2B5EF4-FFF2-40B4-BE49-F238E27FC236}">
              <a16:creationId xmlns:a16="http://schemas.microsoft.com/office/drawing/2014/main" id="{1BDEC75C-1CC3-42D0-A8D8-490FC09D301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7264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405</xdr:row>
      <xdr:rowOff>0</xdr:rowOff>
    </xdr:from>
    <xdr:to>
      <xdr:col>0</xdr:col>
      <xdr:colOff>152400</xdr:colOff>
      <xdr:row>405</xdr:row>
      <xdr:rowOff>133350</xdr:rowOff>
    </xdr:to>
    <xdr:pic>
      <xdr:nvPicPr>
        <xdr:cNvPr id="130" name="Picture 433">
          <a:extLst>
            <a:ext uri="{FF2B5EF4-FFF2-40B4-BE49-F238E27FC236}">
              <a16:creationId xmlns:a16="http://schemas.microsoft.com/office/drawing/2014/main" id="{72ED433C-26B5-44DF-B460-5F3D7670FB2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8883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406</xdr:row>
      <xdr:rowOff>0</xdr:rowOff>
    </xdr:from>
    <xdr:to>
      <xdr:col>0</xdr:col>
      <xdr:colOff>152400</xdr:colOff>
      <xdr:row>406</xdr:row>
      <xdr:rowOff>133350</xdr:rowOff>
    </xdr:to>
    <xdr:pic>
      <xdr:nvPicPr>
        <xdr:cNvPr id="131" name="Picture 432">
          <a:extLst>
            <a:ext uri="{FF2B5EF4-FFF2-40B4-BE49-F238E27FC236}">
              <a16:creationId xmlns:a16="http://schemas.microsoft.com/office/drawing/2014/main" id="{EB1C1F57-9C6C-4063-B367-3669847C118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0502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407</xdr:row>
      <xdr:rowOff>0</xdr:rowOff>
    </xdr:from>
    <xdr:to>
      <xdr:col>0</xdr:col>
      <xdr:colOff>152400</xdr:colOff>
      <xdr:row>407</xdr:row>
      <xdr:rowOff>133350</xdr:rowOff>
    </xdr:to>
    <xdr:pic>
      <xdr:nvPicPr>
        <xdr:cNvPr id="132" name="Picture 431">
          <a:extLst>
            <a:ext uri="{FF2B5EF4-FFF2-40B4-BE49-F238E27FC236}">
              <a16:creationId xmlns:a16="http://schemas.microsoft.com/office/drawing/2014/main" id="{C8AE933D-82EC-4705-93C6-0BBDB915CEA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2121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408</xdr:row>
      <xdr:rowOff>0</xdr:rowOff>
    </xdr:from>
    <xdr:to>
      <xdr:col>0</xdr:col>
      <xdr:colOff>152400</xdr:colOff>
      <xdr:row>408</xdr:row>
      <xdr:rowOff>133350</xdr:rowOff>
    </xdr:to>
    <xdr:pic>
      <xdr:nvPicPr>
        <xdr:cNvPr id="133" name="Picture 430">
          <a:extLst>
            <a:ext uri="{FF2B5EF4-FFF2-40B4-BE49-F238E27FC236}">
              <a16:creationId xmlns:a16="http://schemas.microsoft.com/office/drawing/2014/main" id="{C7FAED31-7784-4DBB-AED7-3A6FCF5084C7}"/>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3741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409</xdr:row>
      <xdr:rowOff>0</xdr:rowOff>
    </xdr:from>
    <xdr:to>
      <xdr:col>0</xdr:col>
      <xdr:colOff>152400</xdr:colOff>
      <xdr:row>409</xdr:row>
      <xdr:rowOff>133350</xdr:rowOff>
    </xdr:to>
    <xdr:pic>
      <xdr:nvPicPr>
        <xdr:cNvPr id="134" name="Picture 429">
          <a:extLst>
            <a:ext uri="{FF2B5EF4-FFF2-40B4-BE49-F238E27FC236}">
              <a16:creationId xmlns:a16="http://schemas.microsoft.com/office/drawing/2014/main" id="{39F71364-7257-42EE-9000-2AA67D51116C}"/>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5360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410</xdr:row>
      <xdr:rowOff>0</xdr:rowOff>
    </xdr:from>
    <xdr:to>
      <xdr:col>0</xdr:col>
      <xdr:colOff>152400</xdr:colOff>
      <xdr:row>410</xdr:row>
      <xdr:rowOff>133350</xdr:rowOff>
    </xdr:to>
    <xdr:pic>
      <xdr:nvPicPr>
        <xdr:cNvPr id="135" name="Picture 428">
          <a:extLst>
            <a:ext uri="{FF2B5EF4-FFF2-40B4-BE49-F238E27FC236}">
              <a16:creationId xmlns:a16="http://schemas.microsoft.com/office/drawing/2014/main" id="{3706DEDE-77BE-476B-87E9-D2520D185DB3}"/>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6979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411</xdr:row>
      <xdr:rowOff>0</xdr:rowOff>
    </xdr:from>
    <xdr:to>
      <xdr:col>0</xdr:col>
      <xdr:colOff>152400</xdr:colOff>
      <xdr:row>411</xdr:row>
      <xdr:rowOff>133350</xdr:rowOff>
    </xdr:to>
    <xdr:pic>
      <xdr:nvPicPr>
        <xdr:cNvPr id="136" name="Picture 427">
          <a:extLst>
            <a:ext uri="{FF2B5EF4-FFF2-40B4-BE49-F238E27FC236}">
              <a16:creationId xmlns:a16="http://schemas.microsoft.com/office/drawing/2014/main" id="{24373566-D347-45C1-93B9-6821B9532DEB}"/>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8598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412</xdr:row>
      <xdr:rowOff>0</xdr:rowOff>
    </xdr:from>
    <xdr:to>
      <xdr:col>0</xdr:col>
      <xdr:colOff>152400</xdr:colOff>
      <xdr:row>412</xdr:row>
      <xdr:rowOff>133350</xdr:rowOff>
    </xdr:to>
    <xdr:pic>
      <xdr:nvPicPr>
        <xdr:cNvPr id="137" name="Picture 426">
          <a:extLst>
            <a:ext uri="{FF2B5EF4-FFF2-40B4-BE49-F238E27FC236}">
              <a16:creationId xmlns:a16="http://schemas.microsoft.com/office/drawing/2014/main" id="{45E99F46-F762-4387-ADF4-B5E14CC412C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0218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413</xdr:row>
      <xdr:rowOff>0</xdr:rowOff>
    </xdr:from>
    <xdr:to>
      <xdr:col>0</xdr:col>
      <xdr:colOff>152400</xdr:colOff>
      <xdr:row>413</xdr:row>
      <xdr:rowOff>133350</xdr:rowOff>
    </xdr:to>
    <xdr:pic>
      <xdr:nvPicPr>
        <xdr:cNvPr id="138" name="Picture 425">
          <a:extLst>
            <a:ext uri="{FF2B5EF4-FFF2-40B4-BE49-F238E27FC236}">
              <a16:creationId xmlns:a16="http://schemas.microsoft.com/office/drawing/2014/main" id="{57E55510-76C5-47EA-9259-5658B3D1FBF3}"/>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1837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414</xdr:row>
      <xdr:rowOff>0</xdr:rowOff>
    </xdr:from>
    <xdr:to>
      <xdr:col>0</xdr:col>
      <xdr:colOff>152400</xdr:colOff>
      <xdr:row>414</xdr:row>
      <xdr:rowOff>133350</xdr:rowOff>
    </xdr:to>
    <xdr:pic>
      <xdr:nvPicPr>
        <xdr:cNvPr id="139" name="Picture 424">
          <a:extLst>
            <a:ext uri="{FF2B5EF4-FFF2-40B4-BE49-F238E27FC236}">
              <a16:creationId xmlns:a16="http://schemas.microsoft.com/office/drawing/2014/main" id="{1C2ADA0D-1C18-4789-A5FE-BF9D303BE03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3456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415</xdr:row>
      <xdr:rowOff>0</xdr:rowOff>
    </xdr:from>
    <xdr:to>
      <xdr:col>0</xdr:col>
      <xdr:colOff>152400</xdr:colOff>
      <xdr:row>415</xdr:row>
      <xdr:rowOff>133350</xdr:rowOff>
    </xdr:to>
    <xdr:pic>
      <xdr:nvPicPr>
        <xdr:cNvPr id="140" name="Picture 423">
          <a:extLst>
            <a:ext uri="{FF2B5EF4-FFF2-40B4-BE49-F238E27FC236}">
              <a16:creationId xmlns:a16="http://schemas.microsoft.com/office/drawing/2014/main" id="{9D7EDC9B-EE4B-4563-BB6A-831C3DFD219E}"/>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5075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382</xdr:row>
      <xdr:rowOff>0</xdr:rowOff>
    </xdr:from>
    <xdr:to>
      <xdr:col>0</xdr:col>
      <xdr:colOff>152400</xdr:colOff>
      <xdr:row>382</xdr:row>
      <xdr:rowOff>133350</xdr:rowOff>
    </xdr:to>
    <xdr:pic>
      <xdr:nvPicPr>
        <xdr:cNvPr id="141" name="Picture 422">
          <a:extLst>
            <a:ext uri="{FF2B5EF4-FFF2-40B4-BE49-F238E27FC236}">
              <a16:creationId xmlns:a16="http://schemas.microsoft.com/office/drawing/2014/main" id="{89EAAF30-DDE9-45F9-9900-9AAF23E0B51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6695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383</xdr:row>
      <xdr:rowOff>0</xdr:rowOff>
    </xdr:from>
    <xdr:to>
      <xdr:col>0</xdr:col>
      <xdr:colOff>152400</xdr:colOff>
      <xdr:row>383</xdr:row>
      <xdr:rowOff>133350</xdr:rowOff>
    </xdr:to>
    <xdr:pic>
      <xdr:nvPicPr>
        <xdr:cNvPr id="142" name="Picture 421">
          <a:extLst>
            <a:ext uri="{FF2B5EF4-FFF2-40B4-BE49-F238E27FC236}">
              <a16:creationId xmlns:a16="http://schemas.microsoft.com/office/drawing/2014/main" id="{860DF7C8-CDEC-4DC2-A93F-B00D66A70FFC}"/>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8314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384</xdr:row>
      <xdr:rowOff>0</xdr:rowOff>
    </xdr:from>
    <xdr:to>
      <xdr:col>0</xdr:col>
      <xdr:colOff>152400</xdr:colOff>
      <xdr:row>384</xdr:row>
      <xdr:rowOff>133350</xdr:rowOff>
    </xdr:to>
    <xdr:pic>
      <xdr:nvPicPr>
        <xdr:cNvPr id="143" name="Picture 420">
          <a:extLst>
            <a:ext uri="{FF2B5EF4-FFF2-40B4-BE49-F238E27FC236}">
              <a16:creationId xmlns:a16="http://schemas.microsoft.com/office/drawing/2014/main" id="{9E42A344-3F2A-4F74-8916-A9BDCF97627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9933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385</xdr:row>
      <xdr:rowOff>0</xdr:rowOff>
    </xdr:from>
    <xdr:to>
      <xdr:col>0</xdr:col>
      <xdr:colOff>152400</xdr:colOff>
      <xdr:row>385</xdr:row>
      <xdr:rowOff>133350</xdr:rowOff>
    </xdr:to>
    <xdr:pic>
      <xdr:nvPicPr>
        <xdr:cNvPr id="144" name="Picture 419">
          <a:extLst>
            <a:ext uri="{FF2B5EF4-FFF2-40B4-BE49-F238E27FC236}">
              <a16:creationId xmlns:a16="http://schemas.microsoft.com/office/drawing/2014/main" id="{17A3F243-E8CE-422E-8EBD-79DF172C5FBA}"/>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31552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386</xdr:row>
      <xdr:rowOff>0</xdr:rowOff>
    </xdr:from>
    <xdr:to>
      <xdr:col>0</xdr:col>
      <xdr:colOff>152400</xdr:colOff>
      <xdr:row>386</xdr:row>
      <xdr:rowOff>133350</xdr:rowOff>
    </xdr:to>
    <xdr:pic>
      <xdr:nvPicPr>
        <xdr:cNvPr id="145" name="Picture 418">
          <a:extLst>
            <a:ext uri="{FF2B5EF4-FFF2-40B4-BE49-F238E27FC236}">
              <a16:creationId xmlns:a16="http://schemas.microsoft.com/office/drawing/2014/main" id="{22126401-C6B4-45B6-B02D-CC81E53C799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33172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387</xdr:row>
      <xdr:rowOff>0</xdr:rowOff>
    </xdr:from>
    <xdr:to>
      <xdr:col>0</xdr:col>
      <xdr:colOff>152400</xdr:colOff>
      <xdr:row>387</xdr:row>
      <xdr:rowOff>133350</xdr:rowOff>
    </xdr:to>
    <xdr:pic>
      <xdr:nvPicPr>
        <xdr:cNvPr id="146" name="Picture 417">
          <a:extLst>
            <a:ext uri="{FF2B5EF4-FFF2-40B4-BE49-F238E27FC236}">
              <a16:creationId xmlns:a16="http://schemas.microsoft.com/office/drawing/2014/main" id="{CF01AAF5-638C-4701-A3F6-DD017421494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34791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388</xdr:row>
      <xdr:rowOff>0</xdr:rowOff>
    </xdr:from>
    <xdr:to>
      <xdr:col>0</xdr:col>
      <xdr:colOff>152400</xdr:colOff>
      <xdr:row>388</xdr:row>
      <xdr:rowOff>133350</xdr:rowOff>
    </xdr:to>
    <xdr:pic>
      <xdr:nvPicPr>
        <xdr:cNvPr id="147" name="Picture 416">
          <a:extLst>
            <a:ext uri="{FF2B5EF4-FFF2-40B4-BE49-F238E27FC236}">
              <a16:creationId xmlns:a16="http://schemas.microsoft.com/office/drawing/2014/main" id="{2E8237E2-EA10-4273-906F-59B1E0920F9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36410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389</xdr:row>
      <xdr:rowOff>0</xdr:rowOff>
    </xdr:from>
    <xdr:to>
      <xdr:col>0</xdr:col>
      <xdr:colOff>152400</xdr:colOff>
      <xdr:row>389</xdr:row>
      <xdr:rowOff>133350</xdr:rowOff>
    </xdr:to>
    <xdr:pic>
      <xdr:nvPicPr>
        <xdr:cNvPr id="148" name="Picture 415">
          <a:extLst>
            <a:ext uri="{FF2B5EF4-FFF2-40B4-BE49-F238E27FC236}">
              <a16:creationId xmlns:a16="http://schemas.microsoft.com/office/drawing/2014/main" id="{F41B5F44-E760-441C-B321-DFAB695E531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38029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390</xdr:row>
      <xdr:rowOff>0</xdr:rowOff>
    </xdr:from>
    <xdr:to>
      <xdr:col>0</xdr:col>
      <xdr:colOff>152400</xdr:colOff>
      <xdr:row>390</xdr:row>
      <xdr:rowOff>133350</xdr:rowOff>
    </xdr:to>
    <xdr:pic>
      <xdr:nvPicPr>
        <xdr:cNvPr id="149" name="Picture 414">
          <a:extLst>
            <a:ext uri="{FF2B5EF4-FFF2-40B4-BE49-F238E27FC236}">
              <a16:creationId xmlns:a16="http://schemas.microsoft.com/office/drawing/2014/main" id="{9D77C0F8-621D-4E45-99DC-AF0209025B93}"/>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39649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391</xdr:row>
      <xdr:rowOff>0</xdr:rowOff>
    </xdr:from>
    <xdr:to>
      <xdr:col>0</xdr:col>
      <xdr:colOff>152400</xdr:colOff>
      <xdr:row>391</xdr:row>
      <xdr:rowOff>133350</xdr:rowOff>
    </xdr:to>
    <xdr:pic>
      <xdr:nvPicPr>
        <xdr:cNvPr id="150" name="Picture 413">
          <a:extLst>
            <a:ext uri="{FF2B5EF4-FFF2-40B4-BE49-F238E27FC236}">
              <a16:creationId xmlns:a16="http://schemas.microsoft.com/office/drawing/2014/main" id="{0E861239-6EE5-4C4E-B230-BD9E1CF49245}"/>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41268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392</xdr:row>
      <xdr:rowOff>0</xdr:rowOff>
    </xdr:from>
    <xdr:to>
      <xdr:col>0</xdr:col>
      <xdr:colOff>152400</xdr:colOff>
      <xdr:row>392</xdr:row>
      <xdr:rowOff>133350</xdr:rowOff>
    </xdr:to>
    <xdr:pic>
      <xdr:nvPicPr>
        <xdr:cNvPr id="151" name="Picture 412">
          <a:extLst>
            <a:ext uri="{FF2B5EF4-FFF2-40B4-BE49-F238E27FC236}">
              <a16:creationId xmlns:a16="http://schemas.microsoft.com/office/drawing/2014/main" id="{DEB94738-7DE8-4471-9978-6BF892461268}"/>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42887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393</xdr:row>
      <xdr:rowOff>0</xdr:rowOff>
    </xdr:from>
    <xdr:to>
      <xdr:col>0</xdr:col>
      <xdr:colOff>152400</xdr:colOff>
      <xdr:row>393</xdr:row>
      <xdr:rowOff>133350</xdr:rowOff>
    </xdr:to>
    <xdr:pic>
      <xdr:nvPicPr>
        <xdr:cNvPr id="152" name="Picture 411">
          <a:extLst>
            <a:ext uri="{FF2B5EF4-FFF2-40B4-BE49-F238E27FC236}">
              <a16:creationId xmlns:a16="http://schemas.microsoft.com/office/drawing/2014/main" id="{F3BDA8BA-2953-4F11-9A5C-4FB77C4EA6C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44506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394</xdr:row>
      <xdr:rowOff>0</xdr:rowOff>
    </xdr:from>
    <xdr:to>
      <xdr:col>0</xdr:col>
      <xdr:colOff>152400</xdr:colOff>
      <xdr:row>394</xdr:row>
      <xdr:rowOff>133350</xdr:rowOff>
    </xdr:to>
    <xdr:pic>
      <xdr:nvPicPr>
        <xdr:cNvPr id="153" name="Picture 410">
          <a:extLst>
            <a:ext uri="{FF2B5EF4-FFF2-40B4-BE49-F238E27FC236}">
              <a16:creationId xmlns:a16="http://schemas.microsoft.com/office/drawing/2014/main" id="{7A0C7EEB-4CB0-4005-807E-6268C3123C87}"/>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46126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395</xdr:row>
      <xdr:rowOff>0</xdr:rowOff>
    </xdr:from>
    <xdr:to>
      <xdr:col>0</xdr:col>
      <xdr:colOff>152400</xdr:colOff>
      <xdr:row>395</xdr:row>
      <xdr:rowOff>133350</xdr:rowOff>
    </xdr:to>
    <xdr:pic>
      <xdr:nvPicPr>
        <xdr:cNvPr id="154" name="Picture 409">
          <a:extLst>
            <a:ext uri="{FF2B5EF4-FFF2-40B4-BE49-F238E27FC236}">
              <a16:creationId xmlns:a16="http://schemas.microsoft.com/office/drawing/2014/main" id="{3B52E037-AEFE-419C-9978-C3D8A207FDD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47745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396</xdr:row>
      <xdr:rowOff>0</xdr:rowOff>
    </xdr:from>
    <xdr:to>
      <xdr:col>0</xdr:col>
      <xdr:colOff>152400</xdr:colOff>
      <xdr:row>396</xdr:row>
      <xdr:rowOff>133350</xdr:rowOff>
    </xdr:to>
    <xdr:pic>
      <xdr:nvPicPr>
        <xdr:cNvPr id="155" name="Picture 408">
          <a:extLst>
            <a:ext uri="{FF2B5EF4-FFF2-40B4-BE49-F238E27FC236}">
              <a16:creationId xmlns:a16="http://schemas.microsoft.com/office/drawing/2014/main" id="{A456E1F6-2A7C-4575-8FDF-7E640D1C51C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49364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397</xdr:row>
      <xdr:rowOff>0</xdr:rowOff>
    </xdr:from>
    <xdr:to>
      <xdr:col>0</xdr:col>
      <xdr:colOff>152400</xdr:colOff>
      <xdr:row>397</xdr:row>
      <xdr:rowOff>133350</xdr:rowOff>
    </xdr:to>
    <xdr:pic>
      <xdr:nvPicPr>
        <xdr:cNvPr id="156" name="Picture 407">
          <a:extLst>
            <a:ext uri="{FF2B5EF4-FFF2-40B4-BE49-F238E27FC236}">
              <a16:creationId xmlns:a16="http://schemas.microsoft.com/office/drawing/2014/main" id="{CE3FBB46-773B-4FA2-A19F-CF58FF32EA03}"/>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0983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398</xdr:row>
      <xdr:rowOff>0</xdr:rowOff>
    </xdr:from>
    <xdr:to>
      <xdr:col>0</xdr:col>
      <xdr:colOff>152400</xdr:colOff>
      <xdr:row>398</xdr:row>
      <xdr:rowOff>133350</xdr:rowOff>
    </xdr:to>
    <xdr:pic>
      <xdr:nvPicPr>
        <xdr:cNvPr id="157" name="Picture 406">
          <a:extLst>
            <a:ext uri="{FF2B5EF4-FFF2-40B4-BE49-F238E27FC236}">
              <a16:creationId xmlns:a16="http://schemas.microsoft.com/office/drawing/2014/main" id="{7571B38A-E45B-4303-91C6-6B20AB06716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2603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399</xdr:row>
      <xdr:rowOff>0</xdr:rowOff>
    </xdr:from>
    <xdr:to>
      <xdr:col>0</xdr:col>
      <xdr:colOff>152400</xdr:colOff>
      <xdr:row>399</xdr:row>
      <xdr:rowOff>133350</xdr:rowOff>
    </xdr:to>
    <xdr:pic>
      <xdr:nvPicPr>
        <xdr:cNvPr id="158" name="Picture 405">
          <a:extLst>
            <a:ext uri="{FF2B5EF4-FFF2-40B4-BE49-F238E27FC236}">
              <a16:creationId xmlns:a16="http://schemas.microsoft.com/office/drawing/2014/main" id="{969B0099-741F-49EF-B83C-0E7968856E3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4222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400</xdr:row>
      <xdr:rowOff>0</xdr:rowOff>
    </xdr:from>
    <xdr:to>
      <xdr:col>0</xdr:col>
      <xdr:colOff>152400</xdr:colOff>
      <xdr:row>400</xdr:row>
      <xdr:rowOff>133350</xdr:rowOff>
    </xdr:to>
    <xdr:pic>
      <xdr:nvPicPr>
        <xdr:cNvPr id="159" name="Picture 404">
          <a:extLst>
            <a:ext uri="{FF2B5EF4-FFF2-40B4-BE49-F238E27FC236}">
              <a16:creationId xmlns:a16="http://schemas.microsoft.com/office/drawing/2014/main" id="{8A02C1C5-91BC-4BCE-A4D6-52FC5504411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5841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374</xdr:row>
      <xdr:rowOff>0</xdr:rowOff>
    </xdr:from>
    <xdr:to>
      <xdr:col>0</xdr:col>
      <xdr:colOff>152400</xdr:colOff>
      <xdr:row>374</xdr:row>
      <xdr:rowOff>133350</xdr:rowOff>
    </xdr:to>
    <xdr:pic>
      <xdr:nvPicPr>
        <xdr:cNvPr id="160" name="Picture 403">
          <a:extLst>
            <a:ext uri="{FF2B5EF4-FFF2-40B4-BE49-F238E27FC236}">
              <a16:creationId xmlns:a16="http://schemas.microsoft.com/office/drawing/2014/main" id="{26E6E9A6-5733-417F-8020-70F5B8475D73}"/>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7460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375</xdr:row>
      <xdr:rowOff>0</xdr:rowOff>
    </xdr:from>
    <xdr:to>
      <xdr:col>0</xdr:col>
      <xdr:colOff>152400</xdr:colOff>
      <xdr:row>375</xdr:row>
      <xdr:rowOff>133350</xdr:rowOff>
    </xdr:to>
    <xdr:pic>
      <xdr:nvPicPr>
        <xdr:cNvPr id="161" name="Picture 402">
          <a:extLst>
            <a:ext uri="{FF2B5EF4-FFF2-40B4-BE49-F238E27FC236}">
              <a16:creationId xmlns:a16="http://schemas.microsoft.com/office/drawing/2014/main" id="{8948A1BF-948A-42CD-8C63-27C428B982D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9080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376</xdr:row>
      <xdr:rowOff>0</xdr:rowOff>
    </xdr:from>
    <xdr:to>
      <xdr:col>0</xdr:col>
      <xdr:colOff>152400</xdr:colOff>
      <xdr:row>376</xdr:row>
      <xdr:rowOff>133350</xdr:rowOff>
    </xdr:to>
    <xdr:pic>
      <xdr:nvPicPr>
        <xdr:cNvPr id="162" name="Picture 401">
          <a:extLst>
            <a:ext uri="{FF2B5EF4-FFF2-40B4-BE49-F238E27FC236}">
              <a16:creationId xmlns:a16="http://schemas.microsoft.com/office/drawing/2014/main" id="{BDBF4BDD-42D8-4410-AD5D-D2E00D695C2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60699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377</xdr:row>
      <xdr:rowOff>0</xdr:rowOff>
    </xdr:from>
    <xdr:to>
      <xdr:col>0</xdr:col>
      <xdr:colOff>152400</xdr:colOff>
      <xdr:row>377</xdr:row>
      <xdr:rowOff>133350</xdr:rowOff>
    </xdr:to>
    <xdr:pic>
      <xdr:nvPicPr>
        <xdr:cNvPr id="163" name="Picture 400">
          <a:extLst>
            <a:ext uri="{FF2B5EF4-FFF2-40B4-BE49-F238E27FC236}">
              <a16:creationId xmlns:a16="http://schemas.microsoft.com/office/drawing/2014/main" id="{E1C2020B-614B-48D8-9276-56E1203227F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62318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378</xdr:row>
      <xdr:rowOff>0</xdr:rowOff>
    </xdr:from>
    <xdr:to>
      <xdr:col>0</xdr:col>
      <xdr:colOff>152400</xdr:colOff>
      <xdr:row>378</xdr:row>
      <xdr:rowOff>133350</xdr:rowOff>
    </xdr:to>
    <xdr:pic>
      <xdr:nvPicPr>
        <xdr:cNvPr id="164" name="Picture 399">
          <a:extLst>
            <a:ext uri="{FF2B5EF4-FFF2-40B4-BE49-F238E27FC236}">
              <a16:creationId xmlns:a16="http://schemas.microsoft.com/office/drawing/2014/main" id="{76BDB770-AF1D-443B-9341-0ED54CCCF013}"/>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63937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379</xdr:row>
      <xdr:rowOff>0</xdr:rowOff>
    </xdr:from>
    <xdr:to>
      <xdr:col>0</xdr:col>
      <xdr:colOff>152400</xdr:colOff>
      <xdr:row>379</xdr:row>
      <xdr:rowOff>133350</xdr:rowOff>
    </xdr:to>
    <xdr:pic>
      <xdr:nvPicPr>
        <xdr:cNvPr id="165" name="Picture 398">
          <a:extLst>
            <a:ext uri="{FF2B5EF4-FFF2-40B4-BE49-F238E27FC236}">
              <a16:creationId xmlns:a16="http://schemas.microsoft.com/office/drawing/2014/main" id="{EE7031E2-C45C-4EC4-ACC3-F34FB5C8BD37}"/>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65557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380</xdr:row>
      <xdr:rowOff>0</xdr:rowOff>
    </xdr:from>
    <xdr:to>
      <xdr:col>0</xdr:col>
      <xdr:colOff>152400</xdr:colOff>
      <xdr:row>380</xdr:row>
      <xdr:rowOff>133350</xdr:rowOff>
    </xdr:to>
    <xdr:pic>
      <xdr:nvPicPr>
        <xdr:cNvPr id="166" name="Picture 397">
          <a:extLst>
            <a:ext uri="{FF2B5EF4-FFF2-40B4-BE49-F238E27FC236}">
              <a16:creationId xmlns:a16="http://schemas.microsoft.com/office/drawing/2014/main" id="{65B203C6-5070-49EF-B456-3F2BF9C3345E}"/>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67176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381</xdr:row>
      <xdr:rowOff>0</xdr:rowOff>
    </xdr:from>
    <xdr:to>
      <xdr:col>0</xdr:col>
      <xdr:colOff>152400</xdr:colOff>
      <xdr:row>381</xdr:row>
      <xdr:rowOff>133350</xdr:rowOff>
    </xdr:to>
    <xdr:pic>
      <xdr:nvPicPr>
        <xdr:cNvPr id="167" name="Picture 396">
          <a:extLst>
            <a:ext uri="{FF2B5EF4-FFF2-40B4-BE49-F238E27FC236}">
              <a16:creationId xmlns:a16="http://schemas.microsoft.com/office/drawing/2014/main" id="{6F5D0EF3-FF2E-4F46-A471-BDA59C4D589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68795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362</xdr:row>
      <xdr:rowOff>0</xdr:rowOff>
    </xdr:from>
    <xdr:to>
      <xdr:col>0</xdr:col>
      <xdr:colOff>152400</xdr:colOff>
      <xdr:row>362</xdr:row>
      <xdr:rowOff>133350</xdr:rowOff>
    </xdr:to>
    <xdr:pic>
      <xdr:nvPicPr>
        <xdr:cNvPr id="168" name="Picture 395">
          <a:extLst>
            <a:ext uri="{FF2B5EF4-FFF2-40B4-BE49-F238E27FC236}">
              <a16:creationId xmlns:a16="http://schemas.microsoft.com/office/drawing/2014/main" id="{2BE82F47-F6A1-440F-AAF9-17E20E05525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0414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363</xdr:row>
      <xdr:rowOff>0</xdr:rowOff>
    </xdr:from>
    <xdr:to>
      <xdr:col>0</xdr:col>
      <xdr:colOff>152400</xdr:colOff>
      <xdr:row>363</xdr:row>
      <xdr:rowOff>133350</xdr:rowOff>
    </xdr:to>
    <xdr:pic>
      <xdr:nvPicPr>
        <xdr:cNvPr id="169" name="Picture 394">
          <a:extLst>
            <a:ext uri="{FF2B5EF4-FFF2-40B4-BE49-F238E27FC236}">
              <a16:creationId xmlns:a16="http://schemas.microsoft.com/office/drawing/2014/main" id="{2919FCD2-B310-4365-91C1-D258303FA69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2034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364</xdr:row>
      <xdr:rowOff>0</xdr:rowOff>
    </xdr:from>
    <xdr:to>
      <xdr:col>0</xdr:col>
      <xdr:colOff>152400</xdr:colOff>
      <xdr:row>364</xdr:row>
      <xdr:rowOff>133350</xdr:rowOff>
    </xdr:to>
    <xdr:pic>
      <xdr:nvPicPr>
        <xdr:cNvPr id="170" name="Picture 393">
          <a:extLst>
            <a:ext uri="{FF2B5EF4-FFF2-40B4-BE49-F238E27FC236}">
              <a16:creationId xmlns:a16="http://schemas.microsoft.com/office/drawing/2014/main" id="{3445394C-889E-413F-AC72-BE61910D89CE}"/>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3653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365</xdr:row>
      <xdr:rowOff>0</xdr:rowOff>
    </xdr:from>
    <xdr:to>
      <xdr:col>0</xdr:col>
      <xdr:colOff>152400</xdr:colOff>
      <xdr:row>365</xdr:row>
      <xdr:rowOff>133350</xdr:rowOff>
    </xdr:to>
    <xdr:pic>
      <xdr:nvPicPr>
        <xdr:cNvPr id="171" name="Picture 392">
          <a:extLst>
            <a:ext uri="{FF2B5EF4-FFF2-40B4-BE49-F238E27FC236}">
              <a16:creationId xmlns:a16="http://schemas.microsoft.com/office/drawing/2014/main" id="{4FAD349D-6C9C-4ADE-B240-230E5EB1AD25}"/>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272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366</xdr:row>
      <xdr:rowOff>0</xdr:rowOff>
    </xdr:from>
    <xdr:to>
      <xdr:col>0</xdr:col>
      <xdr:colOff>152400</xdr:colOff>
      <xdr:row>366</xdr:row>
      <xdr:rowOff>133350</xdr:rowOff>
    </xdr:to>
    <xdr:pic>
      <xdr:nvPicPr>
        <xdr:cNvPr id="172" name="Picture 391">
          <a:extLst>
            <a:ext uri="{FF2B5EF4-FFF2-40B4-BE49-F238E27FC236}">
              <a16:creationId xmlns:a16="http://schemas.microsoft.com/office/drawing/2014/main" id="{38CF1180-9A58-4262-BF61-2E680B7DC62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891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367</xdr:row>
      <xdr:rowOff>0</xdr:rowOff>
    </xdr:from>
    <xdr:to>
      <xdr:col>0</xdr:col>
      <xdr:colOff>152400</xdr:colOff>
      <xdr:row>367</xdr:row>
      <xdr:rowOff>133350</xdr:rowOff>
    </xdr:to>
    <xdr:pic>
      <xdr:nvPicPr>
        <xdr:cNvPr id="173" name="Picture 390">
          <a:extLst>
            <a:ext uri="{FF2B5EF4-FFF2-40B4-BE49-F238E27FC236}">
              <a16:creationId xmlns:a16="http://schemas.microsoft.com/office/drawing/2014/main" id="{5AE32DB3-3100-4571-B30D-6C0EE3EC8C2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8511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368</xdr:row>
      <xdr:rowOff>0</xdr:rowOff>
    </xdr:from>
    <xdr:to>
      <xdr:col>0</xdr:col>
      <xdr:colOff>152400</xdr:colOff>
      <xdr:row>368</xdr:row>
      <xdr:rowOff>133350</xdr:rowOff>
    </xdr:to>
    <xdr:pic>
      <xdr:nvPicPr>
        <xdr:cNvPr id="174" name="Picture 389">
          <a:extLst>
            <a:ext uri="{FF2B5EF4-FFF2-40B4-BE49-F238E27FC236}">
              <a16:creationId xmlns:a16="http://schemas.microsoft.com/office/drawing/2014/main" id="{41614320-D276-44D0-915E-F4B84D60235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0130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369</xdr:row>
      <xdr:rowOff>0</xdr:rowOff>
    </xdr:from>
    <xdr:to>
      <xdr:col>0</xdr:col>
      <xdr:colOff>152400</xdr:colOff>
      <xdr:row>369</xdr:row>
      <xdr:rowOff>133350</xdr:rowOff>
    </xdr:to>
    <xdr:pic>
      <xdr:nvPicPr>
        <xdr:cNvPr id="175" name="Picture 388">
          <a:extLst>
            <a:ext uri="{FF2B5EF4-FFF2-40B4-BE49-F238E27FC236}">
              <a16:creationId xmlns:a16="http://schemas.microsoft.com/office/drawing/2014/main" id="{71FA07E5-8D79-4E5B-BF84-28078C0E8A5C}"/>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1749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370</xdr:row>
      <xdr:rowOff>0</xdr:rowOff>
    </xdr:from>
    <xdr:to>
      <xdr:col>0</xdr:col>
      <xdr:colOff>152400</xdr:colOff>
      <xdr:row>370</xdr:row>
      <xdr:rowOff>133350</xdr:rowOff>
    </xdr:to>
    <xdr:pic>
      <xdr:nvPicPr>
        <xdr:cNvPr id="176" name="Picture 387">
          <a:extLst>
            <a:ext uri="{FF2B5EF4-FFF2-40B4-BE49-F238E27FC236}">
              <a16:creationId xmlns:a16="http://schemas.microsoft.com/office/drawing/2014/main" id="{004510AF-69CD-457E-8FB1-2B0A34A5391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3368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371</xdr:row>
      <xdr:rowOff>0</xdr:rowOff>
    </xdr:from>
    <xdr:to>
      <xdr:col>0</xdr:col>
      <xdr:colOff>152400</xdr:colOff>
      <xdr:row>371</xdr:row>
      <xdr:rowOff>133350</xdr:rowOff>
    </xdr:to>
    <xdr:pic>
      <xdr:nvPicPr>
        <xdr:cNvPr id="177" name="Picture 386">
          <a:extLst>
            <a:ext uri="{FF2B5EF4-FFF2-40B4-BE49-F238E27FC236}">
              <a16:creationId xmlns:a16="http://schemas.microsoft.com/office/drawing/2014/main" id="{29B5EB99-BC65-4ED3-BB06-6C94CFCAE5E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4988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372</xdr:row>
      <xdr:rowOff>0</xdr:rowOff>
    </xdr:from>
    <xdr:to>
      <xdr:col>0</xdr:col>
      <xdr:colOff>152400</xdr:colOff>
      <xdr:row>372</xdr:row>
      <xdr:rowOff>133350</xdr:rowOff>
    </xdr:to>
    <xdr:pic>
      <xdr:nvPicPr>
        <xdr:cNvPr id="178" name="Picture 385">
          <a:extLst>
            <a:ext uri="{FF2B5EF4-FFF2-40B4-BE49-F238E27FC236}">
              <a16:creationId xmlns:a16="http://schemas.microsoft.com/office/drawing/2014/main" id="{B2C4B775-29CF-4D08-A556-9438CAC4A6CB}"/>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6607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373</xdr:row>
      <xdr:rowOff>0</xdr:rowOff>
    </xdr:from>
    <xdr:to>
      <xdr:col>0</xdr:col>
      <xdr:colOff>152400</xdr:colOff>
      <xdr:row>373</xdr:row>
      <xdr:rowOff>133350</xdr:rowOff>
    </xdr:to>
    <xdr:pic>
      <xdr:nvPicPr>
        <xdr:cNvPr id="179" name="Picture 384">
          <a:extLst>
            <a:ext uri="{FF2B5EF4-FFF2-40B4-BE49-F238E27FC236}">
              <a16:creationId xmlns:a16="http://schemas.microsoft.com/office/drawing/2014/main" id="{8FAC75C8-655B-48FF-9DDB-D86DBC91066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8226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358</xdr:row>
      <xdr:rowOff>0</xdr:rowOff>
    </xdr:from>
    <xdr:to>
      <xdr:col>0</xdr:col>
      <xdr:colOff>152400</xdr:colOff>
      <xdr:row>358</xdr:row>
      <xdr:rowOff>133350</xdr:rowOff>
    </xdr:to>
    <xdr:pic>
      <xdr:nvPicPr>
        <xdr:cNvPr id="180" name="Picture 383">
          <a:extLst>
            <a:ext uri="{FF2B5EF4-FFF2-40B4-BE49-F238E27FC236}">
              <a16:creationId xmlns:a16="http://schemas.microsoft.com/office/drawing/2014/main" id="{329B03CE-6A07-4D2B-BC09-AE50F688680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9845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359</xdr:row>
      <xdr:rowOff>0</xdr:rowOff>
    </xdr:from>
    <xdr:to>
      <xdr:col>0</xdr:col>
      <xdr:colOff>152400</xdr:colOff>
      <xdr:row>359</xdr:row>
      <xdr:rowOff>133350</xdr:rowOff>
    </xdr:to>
    <xdr:pic>
      <xdr:nvPicPr>
        <xdr:cNvPr id="181" name="Picture 382">
          <a:extLst>
            <a:ext uri="{FF2B5EF4-FFF2-40B4-BE49-F238E27FC236}">
              <a16:creationId xmlns:a16="http://schemas.microsoft.com/office/drawing/2014/main" id="{054DF2DA-8B44-45DE-B392-D60153EA682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1465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360</xdr:row>
      <xdr:rowOff>0</xdr:rowOff>
    </xdr:from>
    <xdr:to>
      <xdr:col>0</xdr:col>
      <xdr:colOff>152400</xdr:colOff>
      <xdr:row>360</xdr:row>
      <xdr:rowOff>133350</xdr:rowOff>
    </xdr:to>
    <xdr:pic>
      <xdr:nvPicPr>
        <xdr:cNvPr id="182" name="Picture 381">
          <a:extLst>
            <a:ext uri="{FF2B5EF4-FFF2-40B4-BE49-F238E27FC236}">
              <a16:creationId xmlns:a16="http://schemas.microsoft.com/office/drawing/2014/main" id="{1EC1D770-83F6-428E-B5FD-B029793C225B}"/>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3084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361</xdr:row>
      <xdr:rowOff>0</xdr:rowOff>
    </xdr:from>
    <xdr:to>
      <xdr:col>0</xdr:col>
      <xdr:colOff>152400</xdr:colOff>
      <xdr:row>361</xdr:row>
      <xdr:rowOff>133350</xdr:rowOff>
    </xdr:to>
    <xdr:pic>
      <xdr:nvPicPr>
        <xdr:cNvPr id="183" name="Picture 380">
          <a:extLst>
            <a:ext uri="{FF2B5EF4-FFF2-40B4-BE49-F238E27FC236}">
              <a16:creationId xmlns:a16="http://schemas.microsoft.com/office/drawing/2014/main" id="{3F17D740-94A5-4FC9-9B59-66623D105D55}"/>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4703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353</xdr:row>
      <xdr:rowOff>0</xdr:rowOff>
    </xdr:from>
    <xdr:to>
      <xdr:col>0</xdr:col>
      <xdr:colOff>152400</xdr:colOff>
      <xdr:row>353</xdr:row>
      <xdr:rowOff>133350</xdr:rowOff>
    </xdr:to>
    <xdr:pic>
      <xdr:nvPicPr>
        <xdr:cNvPr id="184" name="Picture 379">
          <a:extLst>
            <a:ext uri="{FF2B5EF4-FFF2-40B4-BE49-F238E27FC236}">
              <a16:creationId xmlns:a16="http://schemas.microsoft.com/office/drawing/2014/main" id="{B686EDD9-4DC8-4FA3-9A07-0CB02E031377}"/>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322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354</xdr:row>
      <xdr:rowOff>0</xdr:rowOff>
    </xdr:from>
    <xdr:to>
      <xdr:col>0</xdr:col>
      <xdr:colOff>152400</xdr:colOff>
      <xdr:row>354</xdr:row>
      <xdr:rowOff>133350</xdr:rowOff>
    </xdr:to>
    <xdr:pic>
      <xdr:nvPicPr>
        <xdr:cNvPr id="185" name="Picture 378">
          <a:extLst>
            <a:ext uri="{FF2B5EF4-FFF2-40B4-BE49-F238E27FC236}">
              <a16:creationId xmlns:a16="http://schemas.microsoft.com/office/drawing/2014/main" id="{63F46ADD-DC0D-49AC-AF61-08899BB892F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7942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355</xdr:row>
      <xdr:rowOff>0</xdr:rowOff>
    </xdr:from>
    <xdr:to>
      <xdr:col>0</xdr:col>
      <xdr:colOff>152400</xdr:colOff>
      <xdr:row>355</xdr:row>
      <xdr:rowOff>133350</xdr:rowOff>
    </xdr:to>
    <xdr:pic>
      <xdr:nvPicPr>
        <xdr:cNvPr id="186" name="Picture 377">
          <a:extLst>
            <a:ext uri="{FF2B5EF4-FFF2-40B4-BE49-F238E27FC236}">
              <a16:creationId xmlns:a16="http://schemas.microsoft.com/office/drawing/2014/main" id="{7B41442C-1FE5-4312-8889-7588EBFCA0B7}"/>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9561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356</xdr:row>
      <xdr:rowOff>0</xdr:rowOff>
    </xdr:from>
    <xdr:to>
      <xdr:col>0</xdr:col>
      <xdr:colOff>152400</xdr:colOff>
      <xdr:row>356</xdr:row>
      <xdr:rowOff>133350</xdr:rowOff>
    </xdr:to>
    <xdr:pic>
      <xdr:nvPicPr>
        <xdr:cNvPr id="187" name="Picture 376">
          <a:extLst>
            <a:ext uri="{FF2B5EF4-FFF2-40B4-BE49-F238E27FC236}">
              <a16:creationId xmlns:a16="http://schemas.microsoft.com/office/drawing/2014/main" id="{AD2A57BA-C435-4931-BAD4-0CC72C06F00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1180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357</xdr:row>
      <xdr:rowOff>0</xdr:rowOff>
    </xdr:from>
    <xdr:to>
      <xdr:col>0</xdr:col>
      <xdr:colOff>152400</xdr:colOff>
      <xdr:row>357</xdr:row>
      <xdr:rowOff>133350</xdr:rowOff>
    </xdr:to>
    <xdr:pic>
      <xdr:nvPicPr>
        <xdr:cNvPr id="188" name="Picture 375">
          <a:extLst>
            <a:ext uri="{FF2B5EF4-FFF2-40B4-BE49-F238E27FC236}">
              <a16:creationId xmlns:a16="http://schemas.microsoft.com/office/drawing/2014/main" id="{2C94BFA2-EFCC-4728-B967-751618A2DA0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799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322</xdr:row>
      <xdr:rowOff>0</xdr:rowOff>
    </xdr:from>
    <xdr:to>
      <xdr:col>0</xdr:col>
      <xdr:colOff>152400</xdr:colOff>
      <xdr:row>322</xdr:row>
      <xdr:rowOff>133350</xdr:rowOff>
    </xdr:to>
    <xdr:pic>
      <xdr:nvPicPr>
        <xdr:cNvPr id="189" name="Picture 374">
          <a:extLst>
            <a:ext uri="{FF2B5EF4-FFF2-40B4-BE49-F238E27FC236}">
              <a16:creationId xmlns:a16="http://schemas.microsoft.com/office/drawing/2014/main" id="{A50CF494-6F20-45B5-B3E7-3F10FC329B3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419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323</xdr:row>
      <xdr:rowOff>0</xdr:rowOff>
    </xdr:from>
    <xdr:to>
      <xdr:col>0</xdr:col>
      <xdr:colOff>152400</xdr:colOff>
      <xdr:row>323</xdr:row>
      <xdr:rowOff>133350</xdr:rowOff>
    </xdr:to>
    <xdr:pic>
      <xdr:nvPicPr>
        <xdr:cNvPr id="190" name="Picture 373">
          <a:extLst>
            <a:ext uri="{FF2B5EF4-FFF2-40B4-BE49-F238E27FC236}">
              <a16:creationId xmlns:a16="http://schemas.microsoft.com/office/drawing/2014/main" id="{965A850B-E260-4876-960F-37A7D7B461F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6038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324</xdr:row>
      <xdr:rowOff>0</xdr:rowOff>
    </xdr:from>
    <xdr:to>
      <xdr:col>0</xdr:col>
      <xdr:colOff>152400</xdr:colOff>
      <xdr:row>324</xdr:row>
      <xdr:rowOff>133350</xdr:rowOff>
    </xdr:to>
    <xdr:pic>
      <xdr:nvPicPr>
        <xdr:cNvPr id="191" name="Picture 372">
          <a:extLst>
            <a:ext uri="{FF2B5EF4-FFF2-40B4-BE49-F238E27FC236}">
              <a16:creationId xmlns:a16="http://schemas.microsoft.com/office/drawing/2014/main" id="{5F889F77-9F5A-4514-825C-84AC35E3665E}"/>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7657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325</xdr:row>
      <xdr:rowOff>0</xdr:rowOff>
    </xdr:from>
    <xdr:to>
      <xdr:col>0</xdr:col>
      <xdr:colOff>152400</xdr:colOff>
      <xdr:row>325</xdr:row>
      <xdr:rowOff>133350</xdr:rowOff>
    </xdr:to>
    <xdr:pic>
      <xdr:nvPicPr>
        <xdr:cNvPr id="192" name="Picture 371">
          <a:extLst>
            <a:ext uri="{FF2B5EF4-FFF2-40B4-BE49-F238E27FC236}">
              <a16:creationId xmlns:a16="http://schemas.microsoft.com/office/drawing/2014/main" id="{5AC1202D-69EA-4DE9-9690-B248BEE19E6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9276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326</xdr:row>
      <xdr:rowOff>0</xdr:rowOff>
    </xdr:from>
    <xdr:to>
      <xdr:col>0</xdr:col>
      <xdr:colOff>152400</xdr:colOff>
      <xdr:row>326</xdr:row>
      <xdr:rowOff>133350</xdr:rowOff>
    </xdr:to>
    <xdr:pic>
      <xdr:nvPicPr>
        <xdr:cNvPr id="193" name="Picture 370">
          <a:extLst>
            <a:ext uri="{FF2B5EF4-FFF2-40B4-BE49-F238E27FC236}">
              <a16:creationId xmlns:a16="http://schemas.microsoft.com/office/drawing/2014/main" id="{0C62BE08-AD0B-4ADD-9110-FCAE57FB0D4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0896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327</xdr:row>
      <xdr:rowOff>0</xdr:rowOff>
    </xdr:from>
    <xdr:to>
      <xdr:col>0</xdr:col>
      <xdr:colOff>152400</xdr:colOff>
      <xdr:row>327</xdr:row>
      <xdr:rowOff>133350</xdr:rowOff>
    </xdr:to>
    <xdr:pic>
      <xdr:nvPicPr>
        <xdr:cNvPr id="194" name="Picture 369">
          <a:extLst>
            <a:ext uri="{FF2B5EF4-FFF2-40B4-BE49-F238E27FC236}">
              <a16:creationId xmlns:a16="http://schemas.microsoft.com/office/drawing/2014/main" id="{ABE6AE85-90AA-4475-8F54-A8A303E1F0CE}"/>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515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328</xdr:row>
      <xdr:rowOff>0</xdr:rowOff>
    </xdr:from>
    <xdr:to>
      <xdr:col>0</xdr:col>
      <xdr:colOff>152400</xdr:colOff>
      <xdr:row>328</xdr:row>
      <xdr:rowOff>133350</xdr:rowOff>
    </xdr:to>
    <xdr:pic>
      <xdr:nvPicPr>
        <xdr:cNvPr id="195" name="Picture 368">
          <a:extLst>
            <a:ext uri="{FF2B5EF4-FFF2-40B4-BE49-F238E27FC236}">
              <a16:creationId xmlns:a16="http://schemas.microsoft.com/office/drawing/2014/main" id="{91C55C78-8F62-4F9D-8BBF-38C00A6B4497}"/>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4134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329</xdr:row>
      <xdr:rowOff>0</xdr:rowOff>
    </xdr:from>
    <xdr:to>
      <xdr:col>0</xdr:col>
      <xdr:colOff>152400</xdr:colOff>
      <xdr:row>329</xdr:row>
      <xdr:rowOff>133350</xdr:rowOff>
    </xdr:to>
    <xdr:pic>
      <xdr:nvPicPr>
        <xdr:cNvPr id="196" name="Picture 367">
          <a:extLst>
            <a:ext uri="{FF2B5EF4-FFF2-40B4-BE49-F238E27FC236}">
              <a16:creationId xmlns:a16="http://schemas.microsoft.com/office/drawing/2014/main" id="{8E25EB7B-5E96-49AC-B10B-E0CB083A4F9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5753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330</xdr:row>
      <xdr:rowOff>0</xdr:rowOff>
    </xdr:from>
    <xdr:to>
      <xdr:col>0</xdr:col>
      <xdr:colOff>152400</xdr:colOff>
      <xdr:row>330</xdr:row>
      <xdr:rowOff>133350</xdr:rowOff>
    </xdr:to>
    <xdr:pic>
      <xdr:nvPicPr>
        <xdr:cNvPr id="197" name="Picture 366">
          <a:extLst>
            <a:ext uri="{FF2B5EF4-FFF2-40B4-BE49-F238E27FC236}">
              <a16:creationId xmlns:a16="http://schemas.microsoft.com/office/drawing/2014/main" id="{81CF27B6-CE9E-4076-B384-E78186DC46EA}"/>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7373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331</xdr:row>
      <xdr:rowOff>0</xdr:rowOff>
    </xdr:from>
    <xdr:to>
      <xdr:col>0</xdr:col>
      <xdr:colOff>152400</xdr:colOff>
      <xdr:row>331</xdr:row>
      <xdr:rowOff>133350</xdr:rowOff>
    </xdr:to>
    <xdr:pic>
      <xdr:nvPicPr>
        <xdr:cNvPr id="198" name="Picture 365">
          <a:extLst>
            <a:ext uri="{FF2B5EF4-FFF2-40B4-BE49-F238E27FC236}">
              <a16:creationId xmlns:a16="http://schemas.microsoft.com/office/drawing/2014/main" id="{184F5056-910F-4AC4-8A26-B7FAB2B738A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8992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332</xdr:row>
      <xdr:rowOff>0</xdr:rowOff>
    </xdr:from>
    <xdr:to>
      <xdr:col>0</xdr:col>
      <xdr:colOff>152400</xdr:colOff>
      <xdr:row>332</xdr:row>
      <xdr:rowOff>133350</xdr:rowOff>
    </xdr:to>
    <xdr:pic>
      <xdr:nvPicPr>
        <xdr:cNvPr id="199" name="Picture 364">
          <a:extLst>
            <a:ext uri="{FF2B5EF4-FFF2-40B4-BE49-F238E27FC236}">
              <a16:creationId xmlns:a16="http://schemas.microsoft.com/office/drawing/2014/main" id="{E5EFFE15-AD2D-485C-B98C-BF6746E219B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20611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333</xdr:row>
      <xdr:rowOff>0</xdr:rowOff>
    </xdr:from>
    <xdr:to>
      <xdr:col>0</xdr:col>
      <xdr:colOff>152400</xdr:colOff>
      <xdr:row>333</xdr:row>
      <xdr:rowOff>133350</xdr:rowOff>
    </xdr:to>
    <xdr:pic>
      <xdr:nvPicPr>
        <xdr:cNvPr id="200" name="Picture 363">
          <a:extLst>
            <a:ext uri="{FF2B5EF4-FFF2-40B4-BE49-F238E27FC236}">
              <a16:creationId xmlns:a16="http://schemas.microsoft.com/office/drawing/2014/main" id="{4926B5B9-B860-4C4B-A1A7-226DE301906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22230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334</xdr:row>
      <xdr:rowOff>0</xdr:rowOff>
    </xdr:from>
    <xdr:to>
      <xdr:col>0</xdr:col>
      <xdr:colOff>152400</xdr:colOff>
      <xdr:row>334</xdr:row>
      <xdr:rowOff>133350</xdr:rowOff>
    </xdr:to>
    <xdr:pic>
      <xdr:nvPicPr>
        <xdr:cNvPr id="201" name="Picture 362">
          <a:extLst>
            <a:ext uri="{FF2B5EF4-FFF2-40B4-BE49-F238E27FC236}">
              <a16:creationId xmlns:a16="http://schemas.microsoft.com/office/drawing/2014/main" id="{3CFB0E1B-8E67-401E-8F35-3DC1EEDE3107}"/>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23850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335</xdr:row>
      <xdr:rowOff>0</xdr:rowOff>
    </xdr:from>
    <xdr:to>
      <xdr:col>0</xdr:col>
      <xdr:colOff>152400</xdr:colOff>
      <xdr:row>335</xdr:row>
      <xdr:rowOff>133350</xdr:rowOff>
    </xdr:to>
    <xdr:pic>
      <xdr:nvPicPr>
        <xdr:cNvPr id="202" name="Picture 361">
          <a:extLst>
            <a:ext uri="{FF2B5EF4-FFF2-40B4-BE49-F238E27FC236}">
              <a16:creationId xmlns:a16="http://schemas.microsoft.com/office/drawing/2014/main" id="{8FABA9E8-6FBB-4CC8-98F8-4B632FB4382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25469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336</xdr:row>
      <xdr:rowOff>0</xdr:rowOff>
    </xdr:from>
    <xdr:to>
      <xdr:col>0</xdr:col>
      <xdr:colOff>152400</xdr:colOff>
      <xdr:row>336</xdr:row>
      <xdr:rowOff>133350</xdr:rowOff>
    </xdr:to>
    <xdr:pic>
      <xdr:nvPicPr>
        <xdr:cNvPr id="203" name="Picture 360">
          <a:extLst>
            <a:ext uri="{FF2B5EF4-FFF2-40B4-BE49-F238E27FC236}">
              <a16:creationId xmlns:a16="http://schemas.microsoft.com/office/drawing/2014/main" id="{E20F236A-4BF5-46E3-A328-3FB6CC0590D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27088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337</xdr:row>
      <xdr:rowOff>0</xdr:rowOff>
    </xdr:from>
    <xdr:to>
      <xdr:col>0</xdr:col>
      <xdr:colOff>152400</xdr:colOff>
      <xdr:row>337</xdr:row>
      <xdr:rowOff>133350</xdr:rowOff>
    </xdr:to>
    <xdr:pic>
      <xdr:nvPicPr>
        <xdr:cNvPr id="204" name="Picture 359">
          <a:extLst>
            <a:ext uri="{FF2B5EF4-FFF2-40B4-BE49-F238E27FC236}">
              <a16:creationId xmlns:a16="http://schemas.microsoft.com/office/drawing/2014/main" id="{11452507-46B8-4EEC-ADD4-D324894ACE5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28707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338</xdr:row>
      <xdr:rowOff>0</xdr:rowOff>
    </xdr:from>
    <xdr:to>
      <xdr:col>0</xdr:col>
      <xdr:colOff>152400</xdr:colOff>
      <xdr:row>338</xdr:row>
      <xdr:rowOff>133350</xdr:rowOff>
    </xdr:to>
    <xdr:pic>
      <xdr:nvPicPr>
        <xdr:cNvPr id="205" name="Picture 358">
          <a:extLst>
            <a:ext uri="{FF2B5EF4-FFF2-40B4-BE49-F238E27FC236}">
              <a16:creationId xmlns:a16="http://schemas.microsoft.com/office/drawing/2014/main" id="{9C22F44F-2B3A-4377-9E10-0C10C0173478}"/>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0327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339</xdr:row>
      <xdr:rowOff>0</xdr:rowOff>
    </xdr:from>
    <xdr:to>
      <xdr:col>0</xdr:col>
      <xdr:colOff>152400</xdr:colOff>
      <xdr:row>339</xdr:row>
      <xdr:rowOff>133350</xdr:rowOff>
    </xdr:to>
    <xdr:pic>
      <xdr:nvPicPr>
        <xdr:cNvPr id="206" name="Picture 357">
          <a:extLst>
            <a:ext uri="{FF2B5EF4-FFF2-40B4-BE49-F238E27FC236}">
              <a16:creationId xmlns:a16="http://schemas.microsoft.com/office/drawing/2014/main" id="{77609343-6D0A-409E-AC04-C8CDFECBF17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1946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340</xdr:row>
      <xdr:rowOff>0</xdr:rowOff>
    </xdr:from>
    <xdr:to>
      <xdr:col>0</xdr:col>
      <xdr:colOff>152400</xdr:colOff>
      <xdr:row>340</xdr:row>
      <xdr:rowOff>133350</xdr:rowOff>
    </xdr:to>
    <xdr:pic>
      <xdr:nvPicPr>
        <xdr:cNvPr id="207" name="Picture 356">
          <a:extLst>
            <a:ext uri="{FF2B5EF4-FFF2-40B4-BE49-F238E27FC236}">
              <a16:creationId xmlns:a16="http://schemas.microsoft.com/office/drawing/2014/main" id="{58F88999-039A-450F-A198-0DBB7C4D050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3565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341</xdr:row>
      <xdr:rowOff>0</xdr:rowOff>
    </xdr:from>
    <xdr:to>
      <xdr:col>0</xdr:col>
      <xdr:colOff>152400</xdr:colOff>
      <xdr:row>341</xdr:row>
      <xdr:rowOff>133350</xdr:rowOff>
    </xdr:to>
    <xdr:pic>
      <xdr:nvPicPr>
        <xdr:cNvPr id="208" name="Picture 355">
          <a:extLst>
            <a:ext uri="{FF2B5EF4-FFF2-40B4-BE49-F238E27FC236}">
              <a16:creationId xmlns:a16="http://schemas.microsoft.com/office/drawing/2014/main" id="{7AC0C4B9-AE6D-4FD2-9CE6-4E12202FF14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184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342</xdr:row>
      <xdr:rowOff>0</xdr:rowOff>
    </xdr:from>
    <xdr:to>
      <xdr:col>0</xdr:col>
      <xdr:colOff>152400</xdr:colOff>
      <xdr:row>342</xdr:row>
      <xdr:rowOff>133350</xdr:rowOff>
    </xdr:to>
    <xdr:pic>
      <xdr:nvPicPr>
        <xdr:cNvPr id="209" name="Picture 354">
          <a:extLst>
            <a:ext uri="{FF2B5EF4-FFF2-40B4-BE49-F238E27FC236}">
              <a16:creationId xmlns:a16="http://schemas.microsoft.com/office/drawing/2014/main" id="{FA741082-FCED-40C5-93FC-A77E625A51EE}"/>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6804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343</xdr:row>
      <xdr:rowOff>0</xdr:rowOff>
    </xdr:from>
    <xdr:to>
      <xdr:col>0</xdr:col>
      <xdr:colOff>152400</xdr:colOff>
      <xdr:row>343</xdr:row>
      <xdr:rowOff>133350</xdr:rowOff>
    </xdr:to>
    <xdr:pic>
      <xdr:nvPicPr>
        <xdr:cNvPr id="210" name="Picture 353">
          <a:extLst>
            <a:ext uri="{FF2B5EF4-FFF2-40B4-BE49-F238E27FC236}">
              <a16:creationId xmlns:a16="http://schemas.microsoft.com/office/drawing/2014/main" id="{6969CF9C-9253-4D63-B24A-9360261E41D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8423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344</xdr:row>
      <xdr:rowOff>0</xdr:rowOff>
    </xdr:from>
    <xdr:to>
      <xdr:col>0</xdr:col>
      <xdr:colOff>152400</xdr:colOff>
      <xdr:row>344</xdr:row>
      <xdr:rowOff>133350</xdr:rowOff>
    </xdr:to>
    <xdr:pic>
      <xdr:nvPicPr>
        <xdr:cNvPr id="211" name="Picture 352">
          <a:extLst>
            <a:ext uri="{FF2B5EF4-FFF2-40B4-BE49-F238E27FC236}">
              <a16:creationId xmlns:a16="http://schemas.microsoft.com/office/drawing/2014/main" id="{27E50545-B7D6-4CFA-853E-82D473D17E93}"/>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0042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345</xdr:row>
      <xdr:rowOff>0</xdr:rowOff>
    </xdr:from>
    <xdr:to>
      <xdr:col>0</xdr:col>
      <xdr:colOff>152400</xdr:colOff>
      <xdr:row>345</xdr:row>
      <xdr:rowOff>133350</xdr:rowOff>
    </xdr:to>
    <xdr:pic>
      <xdr:nvPicPr>
        <xdr:cNvPr id="212" name="Picture 351">
          <a:extLst>
            <a:ext uri="{FF2B5EF4-FFF2-40B4-BE49-F238E27FC236}">
              <a16:creationId xmlns:a16="http://schemas.microsoft.com/office/drawing/2014/main" id="{2283A58F-CFF8-4758-9DFC-49C04009C535}"/>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1661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346</xdr:row>
      <xdr:rowOff>0</xdr:rowOff>
    </xdr:from>
    <xdr:to>
      <xdr:col>0</xdr:col>
      <xdr:colOff>152400</xdr:colOff>
      <xdr:row>346</xdr:row>
      <xdr:rowOff>133350</xdr:rowOff>
    </xdr:to>
    <xdr:pic>
      <xdr:nvPicPr>
        <xdr:cNvPr id="213" name="Picture 350">
          <a:extLst>
            <a:ext uri="{FF2B5EF4-FFF2-40B4-BE49-F238E27FC236}">
              <a16:creationId xmlns:a16="http://schemas.microsoft.com/office/drawing/2014/main" id="{C20A4F3B-5B5A-4B20-BDBB-614B0CB4E11B}"/>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3281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347</xdr:row>
      <xdr:rowOff>0</xdr:rowOff>
    </xdr:from>
    <xdr:to>
      <xdr:col>0</xdr:col>
      <xdr:colOff>152400</xdr:colOff>
      <xdr:row>347</xdr:row>
      <xdr:rowOff>133350</xdr:rowOff>
    </xdr:to>
    <xdr:pic>
      <xdr:nvPicPr>
        <xdr:cNvPr id="214" name="Picture 349">
          <a:extLst>
            <a:ext uri="{FF2B5EF4-FFF2-40B4-BE49-F238E27FC236}">
              <a16:creationId xmlns:a16="http://schemas.microsoft.com/office/drawing/2014/main" id="{13BD9132-A63D-4983-B182-A7CF1A1750EC}"/>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4900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348</xdr:row>
      <xdr:rowOff>0</xdr:rowOff>
    </xdr:from>
    <xdr:to>
      <xdr:col>0</xdr:col>
      <xdr:colOff>152400</xdr:colOff>
      <xdr:row>348</xdr:row>
      <xdr:rowOff>133350</xdr:rowOff>
    </xdr:to>
    <xdr:pic>
      <xdr:nvPicPr>
        <xdr:cNvPr id="215" name="Picture 348">
          <a:extLst>
            <a:ext uri="{FF2B5EF4-FFF2-40B4-BE49-F238E27FC236}">
              <a16:creationId xmlns:a16="http://schemas.microsoft.com/office/drawing/2014/main" id="{AECD1466-E8C2-4501-BAFA-ED4203F8A26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6519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349</xdr:row>
      <xdr:rowOff>0</xdr:rowOff>
    </xdr:from>
    <xdr:to>
      <xdr:col>0</xdr:col>
      <xdr:colOff>152400</xdr:colOff>
      <xdr:row>349</xdr:row>
      <xdr:rowOff>133350</xdr:rowOff>
    </xdr:to>
    <xdr:pic>
      <xdr:nvPicPr>
        <xdr:cNvPr id="216" name="Picture 347">
          <a:extLst>
            <a:ext uri="{FF2B5EF4-FFF2-40B4-BE49-F238E27FC236}">
              <a16:creationId xmlns:a16="http://schemas.microsoft.com/office/drawing/2014/main" id="{18412BE2-8D51-477B-83B3-91BF0842A75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8138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350</xdr:row>
      <xdr:rowOff>0</xdr:rowOff>
    </xdr:from>
    <xdr:to>
      <xdr:col>0</xdr:col>
      <xdr:colOff>152400</xdr:colOff>
      <xdr:row>350</xdr:row>
      <xdr:rowOff>133350</xdr:rowOff>
    </xdr:to>
    <xdr:pic>
      <xdr:nvPicPr>
        <xdr:cNvPr id="217" name="Picture 346">
          <a:extLst>
            <a:ext uri="{FF2B5EF4-FFF2-40B4-BE49-F238E27FC236}">
              <a16:creationId xmlns:a16="http://schemas.microsoft.com/office/drawing/2014/main" id="{E79E88F5-7927-4B12-911E-20A48698F81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9758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351</xdr:row>
      <xdr:rowOff>0</xdr:rowOff>
    </xdr:from>
    <xdr:to>
      <xdr:col>0</xdr:col>
      <xdr:colOff>152400</xdr:colOff>
      <xdr:row>351</xdr:row>
      <xdr:rowOff>133350</xdr:rowOff>
    </xdr:to>
    <xdr:pic>
      <xdr:nvPicPr>
        <xdr:cNvPr id="218" name="Picture 345">
          <a:extLst>
            <a:ext uri="{FF2B5EF4-FFF2-40B4-BE49-F238E27FC236}">
              <a16:creationId xmlns:a16="http://schemas.microsoft.com/office/drawing/2014/main" id="{001E9295-A324-489E-8763-BB94157A5F5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51377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352</xdr:row>
      <xdr:rowOff>0</xdr:rowOff>
    </xdr:from>
    <xdr:to>
      <xdr:col>0</xdr:col>
      <xdr:colOff>152400</xdr:colOff>
      <xdr:row>352</xdr:row>
      <xdr:rowOff>133350</xdr:rowOff>
    </xdr:to>
    <xdr:pic>
      <xdr:nvPicPr>
        <xdr:cNvPr id="219" name="Picture 344">
          <a:extLst>
            <a:ext uri="{FF2B5EF4-FFF2-40B4-BE49-F238E27FC236}">
              <a16:creationId xmlns:a16="http://schemas.microsoft.com/office/drawing/2014/main" id="{F7875167-DB79-4F0E-A5C7-AACFDCC4315E}"/>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52996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318</xdr:row>
      <xdr:rowOff>0</xdr:rowOff>
    </xdr:from>
    <xdr:to>
      <xdr:col>0</xdr:col>
      <xdr:colOff>152400</xdr:colOff>
      <xdr:row>318</xdr:row>
      <xdr:rowOff>133350</xdr:rowOff>
    </xdr:to>
    <xdr:pic>
      <xdr:nvPicPr>
        <xdr:cNvPr id="220" name="Picture 343">
          <a:extLst>
            <a:ext uri="{FF2B5EF4-FFF2-40B4-BE49-F238E27FC236}">
              <a16:creationId xmlns:a16="http://schemas.microsoft.com/office/drawing/2014/main" id="{45E250B7-785C-4D40-A555-2BCAC3FC229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54615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319</xdr:row>
      <xdr:rowOff>0</xdr:rowOff>
    </xdr:from>
    <xdr:to>
      <xdr:col>0</xdr:col>
      <xdr:colOff>152400</xdr:colOff>
      <xdr:row>319</xdr:row>
      <xdr:rowOff>133350</xdr:rowOff>
    </xdr:to>
    <xdr:pic>
      <xdr:nvPicPr>
        <xdr:cNvPr id="221" name="Picture 342">
          <a:extLst>
            <a:ext uri="{FF2B5EF4-FFF2-40B4-BE49-F238E27FC236}">
              <a16:creationId xmlns:a16="http://schemas.microsoft.com/office/drawing/2014/main" id="{F1389F43-2F29-46CD-B4CD-4CB647DF76D5}"/>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56235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320</xdr:row>
      <xdr:rowOff>0</xdr:rowOff>
    </xdr:from>
    <xdr:to>
      <xdr:col>0</xdr:col>
      <xdr:colOff>152400</xdr:colOff>
      <xdr:row>320</xdr:row>
      <xdr:rowOff>133350</xdr:rowOff>
    </xdr:to>
    <xdr:pic>
      <xdr:nvPicPr>
        <xdr:cNvPr id="222" name="Picture 341">
          <a:extLst>
            <a:ext uri="{FF2B5EF4-FFF2-40B4-BE49-F238E27FC236}">
              <a16:creationId xmlns:a16="http://schemas.microsoft.com/office/drawing/2014/main" id="{B55D0C92-76CA-4A84-BC4F-8270BFD323F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57854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321</xdr:row>
      <xdr:rowOff>0</xdr:rowOff>
    </xdr:from>
    <xdr:to>
      <xdr:col>0</xdr:col>
      <xdr:colOff>152400</xdr:colOff>
      <xdr:row>321</xdr:row>
      <xdr:rowOff>133350</xdr:rowOff>
    </xdr:to>
    <xdr:pic>
      <xdr:nvPicPr>
        <xdr:cNvPr id="223" name="Picture 340">
          <a:extLst>
            <a:ext uri="{FF2B5EF4-FFF2-40B4-BE49-F238E27FC236}">
              <a16:creationId xmlns:a16="http://schemas.microsoft.com/office/drawing/2014/main" id="{18A01AC1-8EFA-45DF-BF99-801F56F09C1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59473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314</xdr:row>
      <xdr:rowOff>0</xdr:rowOff>
    </xdr:from>
    <xdr:to>
      <xdr:col>0</xdr:col>
      <xdr:colOff>152400</xdr:colOff>
      <xdr:row>314</xdr:row>
      <xdr:rowOff>133350</xdr:rowOff>
    </xdr:to>
    <xdr:pic>
      <xdr:nvPicPr>
        <xdr:cNvPr id="224" name="Picture 339">
          <a:extLst>
            <a:ext uri="{FF2B5EF4-FFF2-40B4-BE49-F238E27FC236}">
              <a16:creationId xmlns:a16="http://schemas.microsoft.com/office/drawing/2014/main" id="{29957E3F-FCEA-481E-B6F9-D63AA94CF055}"/>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61092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315</xdr:row>
      <xdr:rowOff>0</xdr:rowOff>
    </xdr:from>
    <xdr:to>
      <xdr:col>0</xdr:col>
      <xdr:colOff>152400</xdr:colOff>
      <xdr:row>315</xdr:row>
      <xdr:rowOff>133350</xdr:rowOff>
    </xdr:to>
    <xdr:pic>
      <xdr:nvPicPr>
        <xdr:cNvPr id="225" name="Picture 338">
          <a:extLst>
            <a:ext uri="{FF2B5EF4-FFF2-40B4-BE49-F238E27FC236}">
              <a16:creationId xmlns:a16="http://schemas.microsoft.com/office/drawing/2014/main" id="{88E0D8FE-DAA2-4977-803F-596FBD62F8EA}"/>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62712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316</xdr:row>
      <xdr:rowOff>0</xdr:rowOff>
    </xdr:from>
    <xdr:to>
      <xdr:col>0</xdr:col>
      <xdr:colOff>152400</xdr:colOff>
      <xdr:row>316</xdr:row>
      <xdr:rowOff>133350</xdr:rowOff>
    </xdr:to>
    <xdr:pic>
      <xdr:nvPicPr>
        <xdr:cNvPr id="226" name="Picture 337">
          <a:extLst>
            <a:ext uri="{FF2B5EF4-FFF2-40B4-BE49-F238E27FC236}">
              <a16:creationId xmlns:a16="http://schemas.microsoft.com/office/drawing/2014/main" id="{18CEF016-BB9D-4C77-9B8F-CDABEC9E08C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64331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317</xdr:row>
      <xdr:rowOff>0</xdr:rowOff>
    </xdr:from>
    <xdr:to>
      <xdr:col>0</xdr:col>
      <xdr:colOff>152400</xdr:colOff>
      <xdr:row>317</xdr:row>
      <xdr:rowOff>133350</xdr:rowOff>
    </xdr:to>
    <xdr:pic>
      <xdr:nvPicPr>
        <xdr:cNvPr id="227" name="Picture 336">
          <a:extLst>
            <a:ext uri="{FF2B5EF4-FFF2-40B4-BE49-F238E27FC236}">
              <a16:creationId xmlns:a16="http://schemas.microsoft.com/office/drawing/2014/main" id="{C7974A57-AED0-4993-9CE1-022927C4C83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65950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304</xdr:row>
      <xdr:rowOff>0</xdr:rowOff>
    </xdr:from>
    <xdr:to>
      <xdr:col>0</xdr:col>
      <xdr:colOff>152400</xdr:colOff>
      <xdr:row>304</xdr:row>
      <xdr:rowOff>133350</xdr:rowOff>
    </xdr:to>
    <xdr:pic>
      <xdr:nvPicPr>
        <xdr:cNvPr id="228" name="Picture 335">
          <a:extLst>
            <a:ext uri="{FF2B5EF4-FFF2-40B4-BE49-F238E27FC236}">
              <a16:creationId xmlns:a16="http://schemas.microsoft.com/office/drawing/2014/main" id="{EC4E26AC-E13F-4F62-B7E3-089DD141ED8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67569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305</xdr:row>
      <xdr:rowOff>0</xdr:rowOff>
    </xdr:from>
    <xdr:to>
      <xdr:col>0</xdr:col>
      <xdr:colOff>152400</xdr:colOff>
      <xdr:row>305</xdr:row>
      <xdr:rowOff>133350</xdr:rowOff>
    </xdr:to>
    <xdr:pic>
      <xdr:nvPicPr>
        <xdr:cNvPr id="229" name="Picture 334">
          <a:extLst>
            <a:ext uri="{FF2B5EF4-FFF2-40B4-BE49-F238E27FC236}">
              <a16:creationId xmlns:a16="http://schemas.microsoft.com/office/drawing/2014/main" id="{6FD2F3A1-6B4D-4050-A6C8-0FE8DBA89C8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69189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306</xdr:row>
      <xdr:rowOff>0</xdr:rowOff>
    </xdr:from>
    <xdr:to>
      <xdr:col>0</xdr:col>
      <xdr:colOff>152400</xdr:colOff>
      <xdr:row>306</xdr:row>
      <xdr:rowOff>133350</xdr:rowOff>
    </xdr:to>
    <xdr:pic>
      <xdr:nvPicPr>
        <xdr:cNvPr id="230" name="Picture 333">
          <a:extLst>
            <a:ext uri="{FF2B5EF4-FFF2-40B4-BE49-F238E27FC236}">
              <a16:creationId xmlns:a16="http://schemas.microsoft.com/office/drawing/2014/main" id="{3639139E-510B-40B0-8980-ABBEE610D008}"/>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70808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307</xdr:row>
      <xdr:rowOff>0</xdr:rowOff>
    </xdr:from>
    <xdr:to>
      <xdr:col>0</xdr:col>
      <xdr:colOff>152400</xdr:colOff>
      <xdr:row>307</xdr:row>
      <xdr:rowOff>133350</xdr:rowOff>
    </xdr:to>
    <xdr:pic>
      <xdr:nvPicPr>
        <xdr:cNvPr id="231" name="Picture 332">
          <a:extLst>
            <a:ext uri="{FF2B5EF4-FFF2-40B4-BE49-F238E27FC236}">
              <a16:creationId xmlns:a16="http://schemas.microsoft.com/office/drawing/2014/main" id="{17A261A4-CAA0-451F-A802-44D05756EAE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72427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308</xdr:row>
      <xdr:rowOff>0</xdr:rowOff>
    </xdr:from>
    <xdr:to>
      <xdr:col>0</xdr:col>
      <xdr:colOff>152400</xdr:colOff>
      <xdr:row>308</xdr:row>
      <xdr:rowOff>133350</xdr:rowOff>
    </xdr:to>
    <xdr:pic>
      <xdr:nvPicPr>
        <xdr:cNvPr id="232" name="Picture 331">
          <a:extLst>
            <a:ext uri="{FF2B5EF4-FFF2-40B4-BE49-F238E27FC236}">
              <a16:creationId xmlns:a16="http://schemas.microsoft.com/office/drawing/2014/main" id="{C5744C77-766E-43D1-9324-F567773AB16E}"/>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74046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309</xdr:row>
      <xdr:rowOff>0</xdr:rowOff>
    </xdr:from>
    <xdr:to>
      <xdr:col>0</xdr:col>
      <xdr:colOff>152400</xdr:colOff>
      <xdr:row>309</xdr:row>
      <xdr:rowOff>133350</xdr:rowOff>
    </xdr:to>
    <xdr:pic>
      <xdr:nvPicPr>
        <xdr:cNvPr id="233" name="Picture 330">
          <a:extLst>
            <a:ext uri="{FF2B5EF4-FFF2-40B4-BE49-F238E27FC236}">
              <a16:creationId xmlns:a16="http://schemas.microsoft.com/office/drawing/2014/main" id="{B7523757-55F9-40F9-BD2E-50D4113BB7CA}"/>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75666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310</xdr:row>
      <xdr:rowOff>0</xdr:rowOff>
    </xdr:from>
    <xdr:to>
      <xdr:col>0</xdr:col>
      <xdr:colOff>152400</xdr:colOff>
      <xdr:row>310</xdr:row>
      <xdr:rowOff>133350</xdr:rowOff>
    </xdr:to>
    <xdr:pic>
      <xdr:nvPicPr>
        <xdr:cNvPr id="234" name="Picture 329">
          <a:extLst>
            <a:ext uri="{FF2B5EF4-FFF2-40B4-BE49-F238E27FC236}">
              <a16:creationId xmlns:a16="http://schemas.microsoft.com/office/drawing/2014/main" id="{E59FBE33-0CEA-4DAD-B31C-C982388F0668}"/>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77285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311</xdr:row>
      <xdr:rowOff>0</xdr:rowOff>
    </xdr:from>
    <xdr:to>
      <xdr:col>0</xdr:col>
      <xdr:colOff>152400</xdr:colOff>
      <xdr:row>311</xdr:row>
      <xdr:rowOff>133350</xdr:rowOff>
    </xdr:to>
    <xdr:pic>
      <xdr:nvPicPr>
        <xdr:cNvPr id="235" name="Picture 328">
          <a:extLst>
            <a:ext uri="{FF2B5EF4-FFF2-40B4-BE49-F238E27FC236}">
              <a16:creationId xmlns:a16="http://schemas.microsoft.com/office/drawing/2014/main" id="{4367F3C4-A00F-42BB-B5A8-C8265B45924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78904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312</xdr:row>
      <xdr:rowOff>0</xdr:rowOff>
    </xdr:from>
    <xdr:to>
      <xdr:col>0</xdr:col>
      <xdr:colOff>152400</xdr:colOff>
      <xdr:row>312</xdr:row>
      <xdr:rowOff>133350</xdr:rowOff>
    </xdr:to>
    <xdr:pic>
      <xdr:nvPicPr>
        <xdr:cNvPr id="236" name="Picture 327">
          <a:extLst>
            <a:ext uri="{FF2B5EF4-FFF2-40B4-BE49-F238E27FC236}">
              <a16:creationId xmlns:a16="http://schemas.microsoft.com/office/drawing/2014/main" id="{A29EF9C4-847C-421D-9369-4F9CE01C5F37}"/>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0523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313</xdr:row>
      <xdr:rowOff>0</xdr:rowOff>
    </xdr:from>
    <xdr:to>
      <xdr:col>0</xdr:col>
      <xdr:colOff>152400</xdr:colOff>
      <xdr:row>313</xdr:row>
      <xdr:rowOff>133350</xdr:rowOff>
    </xdr:to>
    <xdr:pic>
      <xdr:nvPicPr>
        <xdr:cNvPr id="237" name="Picture 326">
          <a:extLst>
            <a:ext uri="{FF2B5EF4-FFF2-40B4-BE49-F238E27FC236}">
              <a16:creationId xmlns:a16="http://schemas.microsoft.com/office/drawing/2014/main" id="{948D0975-A301-4120-928C-0727D1910EC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2143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299</xdr:row>
      <xdr:rowOff>0</xdr:rowOff>
    </xdr:from>
    <xdr:to>
      <xdr:col>0</xdr:col>
      <xdr:colOff>152400</xdr:colOff>
      <xdr:row>299</xdr:row>
      <xdr:rowOff>133350</xdr:rowOff>
    </xdr:to>
    <xdr:pic>
      <xdr:nvPicPr>
        <xdr:cNvPr id="238" name="Picture 325">
          <a:extLst>
            <a:ext uri="{FF2B5EF4-FFF2-40B4-BE49-F238E27FC236}">
              <a16:creationId xmlns:a16="http://schemas.microsoft.com/office/drawing/2014/main" id="{CBF62454-A2AE-4F81-89ED-64266C547207}"/>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3762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300</xdr:row>
      <xdr:rowOff>0</xdr:rowOff>
    </xdr:from>
    <xdr:to>
      <xdr:col>0</xdr:col>
      <xdr:colOff>152400</xdr:colOff>
      <xdr:row>300</xdr:row>
      <xdr:rowOff>133350</xdr:rowOff>
    </xdr:to>
    <xdr:pic>
      <xdr:nvPicPr>
        <xdr:cNvPr id="239" name="Picture 324">
          <a:extLst>
            <a:ext uri="{FF2B5EF4-FFF2-40B4-BE49-F238E27FC236}">
              <a16:creationId xmlns:a16="http://schemas.microsoft.com/office/drawing/2014/main" id="{131A7CEB-516D-4D07-ABCD-C670DE1E726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5381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301</xdr:row>
      <xdr:rowOff>0</xdr:rowOff>
    </xdr:from>
    <xdr:to>
      <xdr:col>0</xdr:col>
      <xdr:colOff>152400</xdr:colOff>
      <xdr:row>301</xdr:row>
      <xdr:rowOff>133350</xdr:rowOff>
    </xdr:to>
    <xdr:pic>
      <xdr:nvPicPr>
        <xdr:cNvPr id="240" name="Picture 323">
          <a:extLst>
            <a:ext uri="{FF2B5EF4-FFF2-40B4-BE49-F238E27FC236}">
              <a16:creationId xmlns:a16="http://schemas.microsoft.com/office/drawing/2014/main" id="{C776468A-BE8D-4EDB-9EFA-49F056769168}"/>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7000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302</xdr:row>
      <xdr:rowOff>0</xdr:rowOff>
    </xdr:from>
    <xdr:to>
      <xdr:col>0</xdr:col>
      <xdr:colOff>152400</xdr:colOff>
      <xdr:row>302</xdr:row>
      <xdr:rowOff>133350</xdr:rowOff>
    </xdr:to>
    <xdr:pic>
      <xdr:nvPicPr>
        <xdr:cNvPr id="241" name="Picture 322">
          <a:extLst>
            <a:ext uri="{FF2B5EF4-FFF2-40B4-BE49-F238E27FC236}">
              <a16:creationId xmlns:a16="http://schemas.microsoft.com/office/drawing/2014/main" id="{65A4EA32-3671-413C-8ACE-C25A4090301C}"/>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8620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303</xdr:row>
      <xdr:rowOff>0</xdr:rowOff>
    </xdr:from>
    <xdr:to>
      <xdr:col>0</xdr:col>
      <xdr:colOff>152400</xdr:colOff>
      <xdr:row>303</xdr:row>
      <xdr:rowOff>133350</xdr:rowOff>
    </xdr:to>
    <xdr:pic>
      <xdr:nvPicPr>
        <xdr:cNvPr id="242" name="Picture 321">
          <a:extLst>
            <a:ext uri="{FF2B5EF4-FFF2-40B4-BE49-F238E27FC236}">
              <a16:creationId xmlns:a16="http://schemas.microsoft.com/office/drawing/2014/main" id="{88E05540-5297-48CF-B587-C7FBF836D65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90239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295</xdr:row>
      <xdr:rowOff>0</xdr:rowOff>
    </xdr:from>
    <xdr:to>
      <xdr:col>0</xdr:col>
      <xdr:colOff>152400</xdr:colOff>
      <xdr:row>295</xdr:row>
      <xdr:rowOff>133350</xdr:rowOff>
    </xdr:to>
    <xdr:pic>
      <xdr:nvPicPr>
        <xdr:cNvPr id="243" name="Picture 320">
          <a:extLst>
            <a:ext uri="{FF2B5EF4-FFF2-40B4-BE49-F238E27FC236}">
              <a16:creationId xmlns:a16="http://schemas.microsoft.com/office/drawing/2014/main" id="{8F1B6FF2-E3A6-4667-9A8A-09414462BC67}"/>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91858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296</xdr:row>
      <xdr:rowOff>0</xdr:rowOff>
    </xdr:from>
    <xdr:to>
      <xdr:col>0</xdr:col>
      <xdr:colOff>152400</xdr:colOff>
      <xdr:row>296</xdr:row>
      <xdr:rowOff>133350</xdr:rowOff>
    </xdr:to>
    <xdr:pic>
      <xdr:nvPicPr>
        <xdr:cNvPr id="244" name="Picture 319">
          <a:extLst>
            <a:ext uri="{FF2B5EF4-FFF2-40B4-BE49-F238E27FC236}">
              <a16:creationId xmlns:a16="http://schemas.microsoft.com/office/drawing/2014/main" id="{F91DE845-1DAD-452C-BCBA-B84C499220F3}"/>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93477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297</xdr:row>
      <xdr:rowOff>0</xdr:rowOff>
    </xdr:from>
    <xdr:to>
      <xdr:col>0</xdr:col>
      <xdr:colOff>152400</xdr:colOff>
      <xdr:row>297</xdr:row>
      <xdr:rowOff>133350</xdr:rowOff>
    </xdr:to>
    <xdr:pic>
      <xdr:nvPicPr>
        <xdr:cNvPr id="245" name="Picture 318">
          <a:extLst>
            <a:ext uri="{FF2B5EF4-FFF2-40B4-BE49-F238E27FC236}">
              <a16:creationId xmlns:a16="http://schemas.microsoft.com/office/drawing/2014/main" id="{49A5D59D-7351-496D-9219-547A37A48F8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95097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298</xdr:row>
      <xdr:rowOff>0</xdr:rowOff>
    </xdr:from>
    <xdr:to>
      <xdr:col>0</xdr:col>
      <xdr:colOff>152400</xdr:colOff>
      <xdr:row>298</xdr:row>
      <xdr:rowOff>133350</xdr:rowOff>
    </xdr:to>
    <xdr:pic>
      <xdr:nvPicPr>
        <xdr:cNvPr id="246" name="Picture 317">
          <a:extLst>
            <a:ext uri="{FF2B5EF4-FFF2-40B4-BE49-F238E27FC236}">
              <a16:creationId xmlns:a16="http://schemas.microsoft.com/office/drawing/2014/main" id="{FA1233A8-B95F-453D-96AD-DC1A1814E76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96716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290</xdr:row>
      <xdr:rowOff>0</xdr:rowOff>
    </xdr:from>
    <xdr:to>
      <xdr:col>0</xdr:col>
      <xdr:colOff>152400</xdr:colOff>
      <xdr:row>290</xdr:row>
      <xdr:rowOff>133350</xdr:rowOff>
    </xdr:to>
    <xdr:pic>
      <xdr:nvPicPr>
        <xdr:cNvPr id="247" name="Picture 316">
          <a:extLst>
            <a:ext uri="{FF2B5EF4-FFF2-40B4-BE49-F238E27FC236}">
              <a16:creationId xmlns:a16="http://schemas.microsoft.com/office/drawing/2014/main" id="{53187C89-83F1-437B-82A8-69F08C5BCB9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98335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291</xdr:row>
      <xdr:rowOff>0</xdr:rowOff>
    </xdr:from>
    <xdr:to>
      <xdr:col>0</xdr:col>
      <xdr:colOff>152400</xdr:colOff>
      <xdr:row>291</xdr:row>
      <xdr:rowOff>133350</xdr:rowOff>
    </xdr:to>
    <xdr:pic>
      <xdr:nvPicPr>
        <xdr:cNvPr id="248" name="Picture 315">
          <a:extLst>
            <a:ext uri="{FF2B5EF4-FFF2-40B4-BE49-F238E27FC236}">
              <a16:creationId xmlns:a16="http://schemas.microsoft.com/office/drawing/2014/main" id="{BD4CF230-F794-4792-9021-6D490AEF32E3}"/>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99954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292</xdr:row>
      <xdr:rowOff>0</xdr:rowOff>
    </xdr:from>
    <xdr:to>
      <xdr:col>0</xdr:col>
      <xdr:colOff>152400</xdr:colOff>
      <xdr:row>292</xdr:row>
      <xdr:rowOff>133350</xdr:rowOff>
    </xdr:to>
    <xdr:pic>
      <xdr:nvPicPr>
        <xdr:cNvPr id="249" name="Picture 314">
          <a:extLst>
            <a:ext uri="{FF2B5EF4-FFF2-40B4-BE49-F238E27FC236}">
              <a16:creationId xmlns:a16="http://schemas.microsoft.com/office/drawing/2014/main" id="{C5AA27D9-09EF-45F3-B956-517D8BDF4028}"/>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1574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293</xdr:row>
      <xdr:rowOff>0</xdr:rowOff>
    </xdr:from>
    <xdr:to>
      <xdr:col>0</xdr:col>
      <xdr:colOff>152400</xdr:colOff>
      <xdr:row>293</xdr:row>
      <xdr:rowOff>133350</xdr:rowOff>
    </xdr:to>
    <xdr:pic>
      <xdr:nvPicPr>
        <xdr:cNvPr id="250" name="Picture 313">
          <a:extLst>
            <a:ext uri="{FF2B5EF4-FFF2-40B4-BE49-F238E27FC236}">
              <a16:creationId xmlns:a16="http://schemas.microsoft.com/office/drawing/2014/main" id="{00A02555-10AD-48EB-ACF5-ED1A956366E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3193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294</xdr:row>
      <xdr:rowOff>0</xdr:rowOff>
    </xdr:from>
    <xdr:to>
      <xdr:col>0</xdr:col>
      <xdr:colOff>152400</xdr:colOff>
      <xdr:row>294</xdr:row>
      <xdr:rowOff>133350</xdr:rowOff>
    </xdr:to>
    <xdr:pic>
      <xdr:nvPicPr>
        <xdr:cNvPr id="251" name="Picture 312">
          <a:extLst>
            <a:ext uri="{FF2B5EF4-FFF2-40B4-BE49-F238E27FC236}">
              <a16:creationId xmlns:a16="http://schemas.microsoft.com/office/drawing/2014/main" id="{272A264F-B64B-413E-8DD3-B724C88E913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4812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286</xdr:row>
      <xdr:rowOff>0</xdr:rowOff>
    </xdr:from>
    <xdr:to>
      <xdr:col>0</xdr:col>
      <xdr:colOff>152400</xdr:colOff>
      <xdr:row>286</xdr:row>
      <xdr:rowOff>133350</xdr:rowOff>
    </xdr:to>
    <xdr:pic>
      <xdr:nvPicPr>
        <xdr:cNvPr id="252" name="Picture 311">
          <a:extLst>
            <a:ext uri="{FF2B5EF4-FFF2-40B4-BE49-F238E27FC236}">
              <a16:creationId xmlns:a16="http://schemas.microsoft.com/office/drawing/2014/main" id="{8CE16A43-A2B3-412A-9959-40D5541B0F5C}"/>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6431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287</xdr:row>
      <xdr:rowOff>0</xdr:rowOff>
    </xdr:from>
    <xdr:to>
      <xdr:col>0</xdr:col>
      <xdr:colOff>152400</xdr:colOff>
      <xdr:row>287</xdr:row>
      <xdr:rowOff>133350</xdr:rowOff>
    </xdr:to>
    <xdr:pic>
      <xdr:nvPicPr>
        <xdr:cNvPr id="253" name="Picture 310">
          <a:extLst>
            <a:ext uri="{FF2B5EF4-FFF2-40B4-BE49-F238E27FC236}">
              <a16:creationId xmlns:a16="http://schemas.microsoft.com/office/drawing/2014/main" id="{7F4A2BC3-0031-4D6A-B1D8-D99F8A5C1B1C}"/>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8051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288</xdr:row>
      <xdr:rowOff>0</xdr:rowOff>
    </xdr:from>
    <xdr:to>
      <xdr:col>0</xdr:col>
      <xdr:colOff>152400</xdr:colOff>
      <xdr:row>288</xdr:row>
      <xdr:rowOff>133350</xdr:rowOff>
    </xdr:to>
    <xdr:pic>
      <xdr:nvPicPr>
        <xdr:cNvPr id="254" name="Picture 309">
          <a:extLst>
            <a:ext uri="{FF2B5EF4-FFF2-40B4-BE49-F238E27FC236}">
              <a16:creationId xmlns:a16="http://schemas.microsoft.com/office/drawing/2014/main" id="{208B8A58-F166-4EEF-949C-05E5E3E6AAD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9670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289</xdr:row>
      <xdr:rowOff>0</xdr:rowOff>
    </xdr:from>
    <xdr:to>
      <xdr:col>0</xdr:col>
      <xdr:colOff>152400</xdr:colOff>
      <xdr:row>289</xdr:row>
      <xdr:rowOff>133350</xdr:rowOff>
    </xdr:to>
    <xdr:pic>
      <xdr:nvPicPr>
        <xdr:cNvPr id="255" name="Picture 308">
          <a:extLst>
            <a:ext uri="{FF2B5EF4-FFF2-40B4-BE49-F238E27FC236}">
              <a16:creationId xmlns:a16="http://schemas.microsoft.com/office/drawing/2014/main" id="{6DEA21B1-650F-48F6-B9D7-F150338F0E1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11289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281</xdr:row>
      <xdr:rowOff>0</xdr:rowOff>
    </xdr:from>
    <xdr:to>
      <xdr:col>0</xdr:col>
      <xdr:colOff>152400</xdr:colOff>
      <xdr:row>281</xdr:row>
      <xdr:rowOff>133350</xdr:rowOff>
    </xdr:to>
    <xdr:pic>
      <xdr:nvPicPr>
        <xdr:cNvPr id="256" name="Picture 307">
          <a:extLst>
            <a:ext uri="{FF2B5EF4-FFF2-40B4-BE49-F238E27FC236}">
              <a16:creationId xmlns:a16="http://schemas.microsoft.com/office/drawing/2014/main" id="{DF9CD7A9-DD43-44A6-8665-753FA85C48B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12908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282</xdr:row>
      <xdr:rowOff>0</xdr:rowOff>
    </xdr:from>
    <xdr:to>
      <xdr:col>0</xdr:col>
      <xdr:colOff>152400</xdr:colOff>
      <xdr:row>282</xdr:row>
      <xdr:rowOff>133350</xdr:rowOff>
    </xdr:to>
    <xdr:pic>
      <xdr:nvPicPr>
        <xdr:cNvPr id="257" name="Picture 306">
          <a:extLst>
            <a:ext uri="{FF2B5EF4-FFF2-40B4-BE49-F238E27FC236}">
              <a16:creationId xmlns:a16="http://schemas.microsoft.com/office/drawing/2014/main" id="{83B1E1C3-794E-4FBB-BFE1-B11B49E8C8E5}"/>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14528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283</xdr:row>
      <xdr:rowOff>0</xdr:rowOff>
    </xdr:from>
    <xdr:to>
      <xdr:col>0</xdr:col>
      <xdr:colOff>152400</xdr:colOff>
      <xdr:row>283</xdr:row>
      <xdr:rowOff>133350</xdr:rowOff>
    </xdr:to>
    <xdr:pic>
      <xdr:nvPicPr>
        <xdr:cNvPr id="258" name="Picture 305">
          <a:extLst>
            <a:ext uri="{FF2B5EF4-FFF2-40B4-BE49-F238E27FC236}">
              <a16:creationId xmlns:a16="http://schemas.microsoft.com/office/drawing/2014/main" id="{85253790-91F5-43FD-BE2B-ECC94CE813B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16147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284</xdr:row>
      <xdr:rowOff>0</xdr:rowOff>
    </xdr:from>
    <xdr:to>
      <xdr:col>0</xdr:col>
      <xdr:colOff>152400</xdr:colOff>
      <xdr:row>284</xdr:row>
      <xdr:rowOff>133350</xdr:rowOff>
    </xdr:to>
    <xdr:pic>
      <xdr:nvPicPr>
        <xdr:cNvPr id="259" name="Picture 304">
          <a:extLst>
            <a:ext uri="{FF2B5EF4-FFF2-40B4-BE49-F238E27FC236}">
              <a16:creationId xmlns:a16="http://schemas.microsoft.com/office/drawing/2014/main" id="{9286CD59-DCDF-4CEB-AE78-BDFB619DEFF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17766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285</xdr:row>
      <xdr:rowOff>0</xdr:rowOff>
    </xdr:from>
    <xdr:to>
      <xdr:col>0</xdr:col>
      <xdr:colOff>152400</xdr:colOff>
      <xdr:row>285</xdr:row>
      <xdr:rowOff>133350</xdr:rowOff>
    </xdr:to>
    <xdr:pic>
      <xdr:nvPicPr>
        <xdr:cNvPr id="260" name="Picture 303">
          <a:extLst>
            <a:ext uri="{FF2B5EF4-FFF2-40B4-BE49-F238E27FC236}">
              <a16:creationId xmlns:a16="http://schemas.microsoft.com/office/drawing/2014/main" id="{42AFE17F-5826-45B0-BC58-2FEE4ABB217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19385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278</xdr:row>
      <xdr:rowOff>0</xdr:rowOff>
    </xdr:from>
    <xdr:to>
      <xdr:col>0</xdr:col>
      <xdr:colOff>152400</xdr:colOff>
      <xdr:row>278</xdr:row>
      <xdr:rowOff>133350</xdr:rowOff>
    </xdr:to>
    <xdr:pic>
      <xdr:nvPicPr>
        <xdr:cNvPr id="261" name="Picture 302">
          <a:extLst>
            <a:ext uri="{FF2B5EF4-FFF2-40B4-BE49-F238E27FC236}">
              <a16:creationId xmlns:a16="http://schemas.microsoft.com/office/drawing/2014/main" id="{8EF0D79C-E4B0-4AAC-97C3-3BE26511984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21005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279</xdr:row>
      <xdr:rowOff>0</xdr:rowOff>
    </xdr:from>
    <xdr:to>
      <xdr:col>0</xdr:col>
      <xdr:colOff>152400</xdr:colOff>
      <xdr:row>279</xdr:row>
      <xdr:rowOff>133350</xdr:rowOff>
    </xdr:to>
    <xdr:pic>
      <xdr:nvPicPr>
        <xdr:cNvPr id="262" name="Picture 301">
          <a:extLst>
            <a:ext uri="{FF2B5EF4-FFF2-40B4-BE49-F238E27FC236}">
              <a16:creationId xmlns:a16="http://schemas.microsoft.com/office/drawing/2014/main" id="{C6AAC864-651D-4BD3-B70A-10F02D919B0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22624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280</xdr:row>
      <xdr:rowOff>0</xdr:rowOff>
    </xdr:from>
    <xdr:to>
      <xdr:col>0</xdr:col>
      <xdr:colOff>152400</xdr:colOff>
      <xdr:row>280</xdr:row>
      <xdr:rowOff>133350</xdr:rowOff>
    </xdr:to>
    <xdr:pic>
      <xdr:nvPicPr>
        <xdr:cNvPr id="263" name="Picture 300">
          <a:extLst>
            <a:ext uri="{FF2B5EF4-FFF2-40B4-BE49-F238E27FC236}">
              <a16:creationId xmlns:a16="http://schemas.microsoft.com/office/drawing/2014/main" id="{F3DC3F0C-3F66-4400-BB84-4957946B5FB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24243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274</xdr:row>
      <xdr:rowOff>0</xdr:rowOff>
    </xdr:from>
    <xdr:to>
      <xdr:col>0</xdr:col>
      <xdr:colOff>152400</xdr:colOff>
      <xdr:row>274</xdr:row>
      <xdr:rowOff>133350</xdr:rowOff>
    </xdr:to>
    <xdr:pic>
      <xdr:nvPicPr>
        <xdr:cNvPr id="264" name="Picture 299">
          <a:extLst>
            <a:ext uri="{FF2B5EF4-FFF2-40B4-BE49-F238E27FC236}">
              <a16:creationId xmlns:a16="http://schemas.microsoft.com/office/drawing/2014/main" id="{673F7A3A-7912-45FB-881C-76554CD0CC57}"/>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25862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275</xdr:row>
      <xdr:rowOff>0</xdr:rowOff>
    </xdr:from>
    <xdr:to>
      <xdr:col>0</xdr:col>
      <xdr:colOff>152400</xdr:colOff>
      <xdr:row>275</xdr:row>
      <xdr:rowOff>133350</xdr:rowOff>
    </xdr:to>
    <xdr:pic>
      <xdr:nvPicPr>
        <xdr:cNvPr id="265" name="Picture 298">
          <a:extLst>
            <a:ext uri="{FF2B5EF4-FFF2-40B4-BE49-F238E27FC236}">
              <a16:creationId xmlns:a16="http://schemas.microsoft.com/office/drawing/2014/main" id="{E561FD73-1B32-44F9-AF38-A9FDAA51EB75}"/>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27482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276</xdr:row>
      <xdr:rowOff>0</xdr:rowOff>
    </xdr:from>
    <xdr:to>
      <xdr:col>0</xdr:col>
      <xdr:colOff>152400</xdr:colOff>
      <xdr:row>276</xdr:row>
      <xdr:rowOff>133350</xdr:rowOff>
    </xdr:to>
    <xdr:pic>
      <xdr:nvPicPr>
        <xdr:cNvPr id="266" name="Picture 297">
          <a:extLst>
            <a:ext uri="{FF2B5EF4-FFF2-40B4-BE49-F238E27FC236}">
              <a16:creationId xmlns:a16="http://schemas.microsoft.com/office/drawing/2014/main" id="{E541AC68-A9BB-43BE-8A4A-11F172562AB8}"/>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29101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277</xdr:row>
      <xdr:rowOff>0</xdr:rowOff>
    </xdr:from>
    <xdr:to>
      <xdr:col>0</xdr:col>
      <xdr:colOff>152400</xdr:colOff>
      <xdr:row>277</xdr:row>
      <xdr:rowOff>133350</xdr:rowOff>
    </xdr:to>
    <xdr:pic>
      <xdr:nvPicPr>
        <xdr:cNvPr id="267" name="Picture 296">
          <a:extLst>
            <a:ext uri="{FF2B5EF4-FFF2-40B4-BE49-F238E27FC236}">
              <a16:creationId xmlns:a16="http://schemas.microsoft.com/office/drawing/2014/main" id="{0817752B-B8F7-4FB3-AD17-AF47F10AF22A}"/>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30720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270</xdr:row>
      <xdr:rowOff>0</xdr:rowOff>
    </xdr:from>
    <xdr:to>
      <xdr:col>0</xdr:col>
      <xdr:colOff>152400</xdr:colOff>
      <xdr:row>270</xdr:row>
      <xdr:rowOff>133350</xdr:rowOff>
    </xdr:to>
    <xdr:pic>
      <xdr:nvPicPr>
        <xdr:cNvPr id="268" name="Picture 295">
          <a:extLst>
            <a:ext uri="{FF2B5EF4-FFF2-40B4-BE49-F238E27FC236}">
              <a16:creationId xmlns:a16="http://schemas.microsoft.com/office/drawing/2014/main" id="{64E6035D-8BAB-4345-BC6B-280FC61C4C2C}"/>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32339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271</xdr:row>
      <xdr:rowOff>0</xdr:rowOff>
    </xdr:from>
    <xdr:to>
      <xdr:col>0</xdr:col>
      <xdr:colOff>152400</xdr:colOff>
      <xdr:row>271</xdr:row>
      <xdr:rowOff>133350</xdr:rowOff>
    </xdr:to>
    <xdr:pic>
      <xdr:nvPicPr>
        <xdr:cNvPr id="269" name="Picture 294">
          <a:extLst>
            <a:ext uri="{FF2B5EF4-FFF2-40B4-BE49-F238E27FC236}">
              <a16:creationId xmlns:a16="http://schemas.microsoft.com/office/drawing/2014/main" id="{BFD7D8FD-E5FC-4F62-99C0-2CB2C0E402D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33959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272</xdr:row>
      <xdr:rowOff>0</xdr:rowOff>
    </xdr:from>
    <xdr:to>
      <xdr:col>0</xdr:col>
      <xdr:colOff>152400</xdr:colOff>
      <xdr:row>272</xdr:row>
      <xdr:rowOff>133350</xdr:rowOff>
    </xdr:to>
    <xdr:pic>
      <xdr:nvPicPr>
        <xdr:cNvPr id="270" name="Picture 293">
          <a:extLst>
            <a:ext uri="{FF2B5EF4-FFF2-40B4-BE49-F238E27FC236}">
              <a16:creationId xmlns:a16="http://schemas.microsoft.com/office/drawing/2014/main" id="{11DA9B3E-DB82-4581-8997-2CDFC648A93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35578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273</xdr:row>
      <xdr:rowOff>0</xdr:rowOff>
    </xdr:from>
    <xdr:to>
      <xdr:col>0</xdr:col>
      <xdr:colOff>152400</xdr:colOff>
      <xdr:row>273</xdr:row>
      <xdr:rowOff>133350</xdr:rowOff>
    </xdr:to>
    <xdr:pic>
      <xdr:nvPicPr>
        <xdr:cNvPr id="271" name="Picture 292">
          <a:extLst>
            <a:ext uri="{FF2B5EF4-FFF2-40B4-BE49-F238E27FC236}">
              <a16:creationId xmlns:a16="http://schemas.microsoft.com/office/drawing/2014/main" id="{7D69F3A4-1F29-4017-8FFD-5E976EF9DE5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37197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261</xdr:row>
      <xdr:rowOff>0</xdr:rowOff>
    </xdr:from>
    <xdr:to>
      <xdr:col>0</xdr:col>
      <xdr:colOff>152400</xdr:colOff>
      <xdr:row>261</xdr:row>
      <xdr:rowOff>133350</xdr:rowOff>
    </xdr:to>
    <xdr:pic>
      <xdr:nvPicPr>
        <xdr:cNvPr id="272" name="Picture 291">
          <a:extLst>
            <a:ext uri="{FF2B5EF4-FFF2-40B4-BE49-F238E27FC236}">
              <a16:creationId xmlns:a16="http://schemas.microsoft.com/office/drawing/2014/main" id="{B84B743E-BA72-405A-B275-A6AAC2825FA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38816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262</xdr:row>
      <xdr:rowOff>0</xdr:rowOff>
    </xdr:from>
    <xdr:to>
      <xdr:col>0</xdr:col>
      <xdr:colOff>152400</xdr:colOff>
      <xdr:row>262</xdr:row>
      <xdr:rowOff>133350</xdr:rowOff>
    </xdr:to>
    <xdr:pic>
      <xdr:nvPicPr>
        <xdr:cNvPr id="273" name="Picture 290">
          <a:extLst>
            <a:ext uri="{FF2B5EF4-FFF2-40B4-BE49-F238E27FC236}">
              <a16:creationId xmlns:a16="http://schemas.microsoft.com/office/drawing/2014/main" id="{6C794E7E-EED0-479A-80C5-763CE933A6A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40436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263</xdr:row>
      <xdr:rowOff>0</xdr:rowOff>
    </xdr:from>
    <xdr:to>
      <xdr:col>0</xdr:col>
      <xdr:colOff>152400</xdr:colOff>
      <xdr:row>263</xdr:row>
      <xdr:rowOff>133350</xdr:rowOff>
    </xdr:to>
    <xdr:pic>
      <xdr:nvPicPr>
        <xdr:cNvPr id="274" name="Picture 289">
          <a:extLst>
            <a:ext uri="{FF2B5EF4-FFF2-40B4-BE49-F238E27FC236}">
              <a16:creationId xmlns:a16="http://schemas.microsoft.com/office/drawing/2014/main" id="{2E8A530F-8ADD-412E-9D6F-04092BBB90AC}"/>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42055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264</xdr:row>
      <xdr:rowOff>0</xdr:rowOff>
    </xdr:from>
    <xdr:to>
      <xdr:col>0</xdr:col>
      <xdr:colOff>152400</xdr:colOff>
      <xdr:row>264</xdr:row>
      <xdr:rowOff>133350</xdr:rowOff>
    </xdr:to>
    <xdr:pic>
      <xdr:nvPicPr>
        <xdr:cNvPr id="275" name="Picture 288">
          <a:extLst>
            <a:ext uri="{FF2B5EF4-FFF2-40B4-BE49-F238E27FC236}">
              <a16:creationId xmlns:a16="http://schemas.microsoft.com/office/drawing/2014/main" id="{EFFE4B54-A63E-4654-AB32-2D59040719B8}"/>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43674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265</xdr:row>
      <xdr:rowOff>0</xdr:rowOff>
    </xdr:from>
    <xdr:to>
      <xdr:col>0</xdr:col>
      <xdr:colOff>152400</xdr:colOff>
      <xdr:row>265</xdr:row>
      <xdr:rowOff>133350</xdr:rowOff>
    </xdr:to>
    <xdr:pic>
      <xdr:nvPicPr>
        <xdr:cNvPr id="276" name="Picture 287">
          <a:extLst>
            <a:ext uri="{FF2B5EF4-FFF2-40B4-BE49-F238E27FC236}">
              <a16:creationId xmlns:a16="http://schemas.microsoft.com/office/drawing/2014/main" id="{2076CFC1-E1E2-45C3-B083-59D50F4525D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45293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266</xdr:row>
      <xdr:rowOff>0</xdr:rowOff>
    </xdr:from>
    <xdr:to>
      <xdr:col>0</xdr:col>
      <xdr:colOff>152400</xdr:colOff>
      <xdr:row>266</xdr:row>
      <xdr:rowOff>133350</xdr:rowOff>
    </xdr:to>
    <xdr:pic>
      <xdr:nvPicPr>
        <xdr:cNvPr id="277" name="Picture 286">
          <a:extLst>
            <a:ext uri="{FF2B5EF4-FFF2-40B4-BE49-F238E27FC236}">
              <a16:creationId xmlns:a16="http://schemas.microsoft.com/office/drawing/2014/main" id="{A908A638-C253-427B-8FDB-3BC7BA51836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46913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267</xdr:row>
      <xdr:rowOff>0</xdr:rowOff>
    </xdr:from>
    <xdr:to>
      <xdr:col>0</xdr:col>
      <xdr:colOff>152400</xdr:colOff>
      <xdr:row>267</xdr:row>
      <xdr:rowOff>133350</xdr:rowOff>
    </xdr:to>
    <xdr:pic>
      <xdr:nvPicPr>
        <xdr:cNvPr id="278" name="Picture 285">
          <a:extLst>
            <a:ext uri="{FF2B5EF4-FFF2-40B4-BE49-F238E27FC236}">
              <a16:creationId xmlns:a16="http://schemas.microsoft.com/office/drawing/2014/main" id="{06A38567-2346-4D86-8E4F-EBEF60048B8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48532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268</xdr:row>
      <xdr:rowOff>0</xdr:rowOff>
    </xdr:from>
    <xdr:to>
      <xdr:col>0</xdr:col>
      <xdr:colOff>152400</xdr:colOff>
      <xdr:row>268</xdr:row>
      <xdr:rowOff>133350</xdr:rowOff>
    </xdr:to>
    <xdr:pic>
      <xdr:nvPicPr>
        <xdr:cNvPr id="279" name="Picture 284">
          <a:extLst>
            <a:ext uri="{FF2B5EF4-FFF2-40B4-BE49-F238E27FC236}">
              <a16:creationId xmlns:a16="http://schemas.microsoft.com/office/drawing/2014/main" id="{B0DA0211-D591-4677-8609-001F58524EF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0151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269</xdr:row>
      <xdr:rowOff>0</xdr:rowOff>
    </xdr:from>
    <xdr:to>
      <xdr:col>0</xdr:col>
      <xdr:colOff>152400</xdr:colOff>
      <xdr:row>269</xdr:row>
      <xdr:rowOff>133350</xdr:rowOff>
    </xdr:to>
    <xdr:pic>
      <xdr:nvPicPr>
        <xdr:cNvPr id="280" name="Picture 283">
          <a:extLst>
            <a:ext uri="{FF2B5EF4-FFF2-40B4-BE49-F238E27FC236}">
              <a16:creationId xmlns:a16="http://schemas.microsoft.com/office/drawing/2014/main" id="{C9705CB9-B572-4E3A-9F52-96FEE2A27FD8}"/>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1770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257</xdr:row>
      <xdr:rowOff>0</xdr:rowOff>
    </xdr:from>
    <xdr:to>
      <xdr:col>0</xdr:col>
      <xdr:colOff>152400</xdr:colOff>
      <xdr:row>257</xdr:row>
      <xdr:rowOff>133350</xdr:rowOff>
    </xdr:to>
    <xdr:pic>
      <xdr:nvPicPr>
        <xdr:cNvPr id="281" name="Picture 282">
          <a:extLst>
            <a:ext uri="{FF2B5EF4-FFF2-40B4-BE49-F238E27FC236}">
              <a16:creationId xmlns:a16="http://schemas.microsoft.com/office/drawing/2014/main" id="{B8781E2D-FF0C-40A0-BA0F-742A42992E7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3390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258</xdr:row>
      <xdr:rowOff>0</xdr:rowOff>
    </xdr:from>
    <xdr:to>
      <xdr:col>0</xdr:col>
      <xdr:colOff>152400</xdr:colOff>
      <xdr:row>258</xdr:row>
      <xdr:rowOff>133350</xdr:rowOff>
    </xdr:to>
    <xdr:pic>
      <xdr:nvPicPr>
        <xdr:cNvPr id="282" name="Picture 281">
          <a:extLst>
            <a:ext uri="{FF2B5EF4-FFF2-40B4-BE49-F238E27FC236}">
              <a16:creationId xmlns:a16="http://schemas.microsoft.com/office/drawing/2014/main" id="{056E974C-77EC-40E5-A24D-2183B7127918}"/>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5009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259</xdr:row>
      <xdr:rowOff>0</xdr:rowOff>
    </xdr:from>
    <xdr:to>
      <xdr:col>0</xdr:col>
      <xdr:colOff>152400</xdr:colOff>
      <xdr:row>259</xdr:row>
      <xdr:rowOff>133350</xdr:rowOff>
    </xdr:to>
    <xdr:pic>
      <xdr:nvPicPr>
        <xdr:cNvPr id="283" name="Picture 280">
          <a:extLst>
            <a:ext uri="{FF2B5EF4-FFF2-40B4-BE49-F238E27FC236}">
              <a16:creationId xmlns:a16="http://schemas.microsoft.com/office/drawing/2014/main" id="{459FCB97-5B9D-45CE-B76A-B41AF9C9E41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6628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260</xdr:row>
      <xdr:rowOff>0</xdr:rowOff>
    </xdr:from>
    <xdr:to>
      <xdr:col>0</xdr:col>
      <xdr:colOff>152400</xdr:colOff>
      <xdr:row>260</xdr:row>
      <xdr:rowOff>133350</xdr:rowOff>
    </xdr:to>
    <xdr:pic>
      <xdr:nvPicPr>
        <xdr:cNvPr id="284" name="Picture 279">
          <a:extLst>
            <a:ext uri="{FF2B5EF4-FFF2-40B4-BE49-F238E27FC236}">
              <a16:creationId xmlns:a16="http://schemas.microsoft.com/office/drawing/2014/main" id="{8B1AFDCB-EB29-4195-8F24-8FB7A82296B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8247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253</xdr:row>
      <xdr:rowOff>0</xdr:rowOff>
    </xdr:from>
    <xdr:to>
      <xdr:col>0</xdr:col>
      <xdr:colOff>152400</xdr:colOff>
      <xdr:row>253</xdr:row>
      <xdr:rowOff>133350</xdr:rowOff>
    </xdr:to>
    <xdr:pic>
      <xdr:nvPicPr>
        <xdr:cNvPr id="285" name="Picture 278">
          <a:extLst>
            <a:ext uri="{FF2B5EF4-FFF2-40B4-BE49-F238E27FC236}">
              <a16:creationId xmlns:a16="http://schemas.microsoft.com/office/drawing/2014/main" id="{8BF75CA0-36D5-44E2-BA6E-6F5F3D8AA62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9867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254</xdr:row>
      <xdr:rowOff>0</xdr:rowOff>
    </xdr:from>
    <xdr:to>
      <xdr:col>0</xdr:col>
      <xdr:colOff>152400</xdr:colOff>
      <xdr:row>254</xdr:row>
      <xdr:rowOff>133350</xdr:rowOff>
    </xdr:to>
    <xdr:pic>
      <xdr:nvPicPr>
        <xdr:cNvPr id="286" name="Picture 277">
          <a:extLst>
            <a:ext uri="{FF2B5EF4-FFF2-40B4-BE49-F238E27FC236}">
              <a16:creationId xmlns:a16="http://schemas.microsoft.com/office/drawing/2014/main" id="{FB263EC2-1F0F-4A93-927D-8F330BC41B2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61486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255</xdr:row>
      <xdr:rowOff>0</xdr:rowOff>
    </xdr:from>
    <xdr:to>
      <xdr:col>0</xdr:col>
      <xdr:colOff>152400</xdr:colOff>
      <xdr:row>255</xdr:row>
      <xdr:rowOff>133350</xdr:rowOff>
    </xdr:to>
    <xdr:pic>
      <xdr:nvPicPr>
        <xdr:cNvPr id="287" name="Picture 276">
          <a:extLst>
            <a:ext uri="{FF2B5EF4-FFF2-40B4-BE49-F238E27FC236}">
              <a16:creationId xmlns:a16="http://schemas.microsoft.com/office/drawing/2014/main" id="{79745387-A209-4791-B834-75852ED80D2E}"/>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63105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256</xdr:row>
      <xdr:rowOff>0</xdr:rowOff>
    </xdr:from>
    <xdr:to>
      <xdr:col>0</xdr:col>
      <xdr:colOff>152400</xdr:colOff>
      <xdr:row>256</xdr:row>
      <xdr:rowOff>133350</xdr:rowOff>
    </xdr:to>
    <xdr:pic>
      <xdr:nvPicPr>
        <xdr:cNvPr id="288" name="Picture 275">
          <a:extLst>
            <a:ext uri="{FF2B5EF4-FFF2-40B4-BE49-F238E27FC236}">
              <a16:creationId xmlns:a16="http://schemas.microsoft.com/office/drawing/2014/main" id="{A09208C0-EA4A-4A9B-AC0D-13253425B1F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64724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249</xdr:row>
      <xdr:rowOff>0</xdr:rowOff>
    </xdr:from>
    <xdr:to>
      <xdr:col>0</xdr:col>
      <xdr:colOff>152400</xdr:colOff>
      <xdr:row>249</xdr:row>
      <xdr:rowOff>133350</xdr:rowOff>
    </xdr:to>
    <xdr:pic>
      <xdr:nvPicPr>
        <xdr:cNvPr id="289" name="Picture 274">
          <a:extLst>
            <a:ext uri="{FF2B5EF4-FFF2-40B4-BE49-F238E27FC236}">
              <a16:creationId xmlns:a16="http://schemas.microsoft.com/office/drawing/2014/main" id="{6991632A-1713-426C-9E51-A2717E564F9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66344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250</xdr:row>
      <xdr:rowOff>0</xdr:rowOff>
    </xdr:from>
    <xdr:to>
      <xdr:col>0</xdr:col>
      <xdr:colOff>152400</xdr:colOff>
      <xdr:row>250</xdr:row>
      <xdr:rowOff>133350</xdr:rowOff>
    </xdr:to>
    <xdr:pic>
      <xdr:nvPicPr>
        <xdr:cNvPr id="290" name="Picture 273">
          <a:extLst>
            <a:ext uri="{FF2B5EF4-FFF2-40B4-BE49-F238E27FC236}">
              <a16:creationId xmlns:a16="http://schemas.microsoft.com/office/drawing/2014/main" id="{30343F00-4A19-4BEB-9C85-A5181EB408DC}"/>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67963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251</xdr:row>
      <xdr:rowOff>0</xdr:rowOff>
    </xdr:from>
    <xdr:to>
      <xdr:col>0</xdr:col>
      <xdr:colOff>152400</xdr:colOff>
      <xdr:row>251</xdr:row>
      <xdr:rowOff>133350</xdr:rowOff>
    </xdr:to>
    <xdr:pic>
      <xdr:nvPicPr>
        <xdr:cNvPr id="291" name="Picture 272">
          <a:extLst>
            <a:ext uri="{FF2B5EF4-FFF2-40B4-BE49-F238E27FC236}">
              <a16:creationId xmlns:a16="http://schemas.microsoft.com/office/drawing/2014/main" id="{49D977C4-7287-4C8D-A524-FEEFD944C4D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69582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252</xdr:row>
      <xdr:rowOff>0</xdr:rowOff>
    </xdr:from>
    <xdr:to>
      <xdr:col>0</xdr:col>
      <xdr:colOff>152400</xdr:colOff>
      <xdr:row>252</xdr:row>
      <xdr:rowOff>133350</xdr:rowOff>
    </xdr:to>
    <xdr:pic>
      <xdr:nvPicPr>
        <xdr:cNvPr id="292" name="Picture 271">
          <a:extLst>
            <a:ext uri="{FF2B5EF4-FFF2-40B4-BE49-F238E27FC236}">
              <a16:creationId xmlns:a16="http://schemas.microsoft.com/office/drawing/2014/main" id="{8B827BE0-EA45-4DAC-AA7F-FE493C60AB1E}"/>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71201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239</xdr:row>
      <xdr:rowOff>0</xdr:rowOff>
    </xdr:from>
    <xdr:to>
      <xdr:col>0</xdr:col>
      <xdr:colOff>152400</xdr:colOff>
      <xdr:row>239</xdr:row>
      <xdr:rowOff>133350</xdr:rowOff>
    </xdr:to>
    <xdr:pic>
      <xdr:nvPicPr>
        <xdr:cNvPr id="293" name="Picture 270">
          <a:extLst>
            <a:ext uri="{FF2B5EF4-FFF2-40B4-BE49-F238E27FC236}">
              <a16:creationId xmlns:a16="http://schemas.microsoft.com/office/drawing/2014/main" id="{B4502D77-6868-4C8E-8764-325D1288481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72821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240</xdr:row>
      <xdr:rowOff>0</xdr:rowOff>
    </xdr:from>
    <xdr:to>
      <xdr:col>0</xdr:col>
      <xdr:colOff>152400</xdr:colOff>
      <xdr:row>240</xdr:row>
      <xdr:rowOff>133350</xdr:rowOff>
    </xdr:to>
    <xdr:pic>
      <xdr:nvPicPr>
        <xdr:cNvPr id="294" name="Picture 269">
          <a:extLst>
            <a:ext uri="{FF2B5EF4-FFF2-40B4-BE49-F238E27FC236}">
              <a16:creationId xmlns:a16="http://schemas.microsoft.com/office/drawing/2014/main" id="{B4EA33EA-6924-4B4F-98DC-757D8B43B55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74440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241</xdr:row>
      <xdr:rowOff>0</xdr:rowOff>
    </xdr:from>
    <xdr:to>
      <xdr:col>0</xdr:col>
      <xdr:colOff>152400</xdr:colOff>
      <xdr:row>241</xdr:row>
      <xdr:rowOff>133350</xdr:rowOff>
    </xdr:to>
    <xdr:pic>
      <xdr:nvPicPr>
        <xdr:cNvPr id="295" name="Picture 268">
          <a:extLst>
            <a:ext uri="{FF2B5EF4-FFF2-40B4-BE49-F238E27FC236}">
              <a16:creationId xmlns:a16="http://schemas.microsoft.com/office/drawing/2014/main" id="{CA3D636B-6AB8-4E75-8946-2106CE0CAC6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76059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242</xdr:row>
      <xdr:rowOff>0</xdr:rowOff>
    </xdr:from>
    <xdr:to>
      <xdr:col>0</xdr:col>
      <xdr:colOff>152400</xdr:colOff>
      <xdr:row>242</xdr:row>
      <xdr:rowOff>133350</xdr:rowOff>
    </xdr:to>
    <xdr:pic>
      <xdr:nvPicPr>
        <xdr:cNvPr id="296" name="Picture 267">
          <a:extLst>
            <a:ext uri="{FF2B5EF4-FFF2-40B4-BE49-F238E27FC236}">
              <a16:creationId xmlns:a16="http://schemas.microsoft.com/office/drawing/2014/main" id="{08FA4C3F-3445-4622-B852-480BEF76D2F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77678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243</xdr:row>
      <xdr:rowOff>0</xdr:rowOff>
    </xdr:from>
    <xdr:to>
      <xdr:col>0</xdr:col>
      <xdr:colOff>152400</xdr:colOff>
      <xdr:row>243</xdr:row>
      <xdr:rowOff>133350</xdr:rowOff>
    </xdr:to>
    <xdr:pic>
      <xdr:nvPicPr>
        <xdr:cNvPr id="297" name="Picture 266">
          <a:extLst>
            <a:ext uri="{FF2B5EF4-FFF2-40B4-BE49-F238E27FC236}">
              <a16:creationId xmlns:a16="http://schemas.microsoft.com/office/drawing/2014/main" id="{0D4B4D97-3C11-4634-8CC4-AE86AB78ACD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79298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244</xdr:row>
      <xdr:rowOff>0</xdr:rowOff>
    </xdr:from>
    <xdr:to>
      <xdr:col>0</xdr:col>
      <xdr:colOff>152400</xdr:colOff>
      <xdr:row>244</xdr:row>
      <xdr:rowOff>133350</xdr:rowOff>
    </xdr:to>
    <xdr:pic>
      <xdr:nvPicPr>
        <xdr:cNvPr id="298" name="Picture 265">
          <a:extLst>
            <a:ext uri="{FF2B5EF4-FFF2-40B4-BE49-F238E27FC236}">
              <a16:creationId xmlns:a16="http://schemas.microsoft.com/office/drawing/2014/main" id="{6FCB23B0-3F35-464E-BCFC-4FCD4F7AACFE}"/>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80917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245</xdr:row>
      <xdr:rowOff>0</xdr:rowOff>
    </xdr:from>
    <xdr:to>
      <xdr:col>0</xdr:col>
      <xdr:colOff>152400</xdr:colOff>
      <xdr:row>245</xdr:row>
      <xdr:rowOff>133350</xdr:rowOff>
    </xdr:to>
    <xdr:pic>
      <xdr:nvPicPr>
        <xdr:cNvPr id="299" name="Picture 264">
          <a:extLst>
            <a:ext uri="{FF2B5EF4-FFF2-40B4-BE49-F238E27FC236}">
              <a16:creationId xmlns:a16="http://schemas.microsoft.com/office/drawing/2014/main" id="{FF16EADB-61A8-4EE0-9D8E-D9767F72AA7A}"/>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82536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246</xdr:row>
      <xdr:rowOff>0</xdr:rowOff>
    </xdr:from>
    <xdr:to>
      <xdr:col>0</xdr:col>
      <xdr:colOff>152400</xdr:colOff>
      <xdr:row>246</xdr:row>
      <xdr:rowOff>133350</xdr:rowOff>
    </xdr:to>
    <xdr:pic>
      <xdr:nvPicPr>
        <xdr:cNvPr id="300" name="Picture 263">
          <a:extLst>
            <a:ext uri="{FF2B5EF4-FFF2-40B4-BE49-F238E27FC236}">
              <a16:creationId xmlns:a16="http://schemas.microsoft.com/office/drawing/2014/main" id="{67F91370-32FB-45CA-8412-4763C33AB218}"/>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84155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247</xdr:row>
      <xdr:rowOff>0</xdr:rowOff>
    </xdr:from>
    <xdr:to>
      <xdr:col>0</xdr:col>
      <xdr:colOff>152400</xdr:colOff>
      <xdr:row>247</xdr:row>
      <xdr:rowOff>133350</xdr:rowOff>
    </xdr:to>
    <xdr:pic>
      <xdr:nvPicPr>
        <xdr:cNvPr id="301" name="Picture 262">
          <a:extLst>
            <a:ext uri="{FF2B5EF4-FFF2-40B4-BE49-F238E27FC236}">
              <a16:creationId xmlns:a16="http://schemas.microsoft.com/office/drawing/2014/main" id="{ABBA58E7-4E47-42A8-B18E-7944FA554B6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85775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248</xdr:row>
      <xdr:rowOff>0</xdr:rowOff>
    </xdr:from>
    <xdr:to>
      <xdr:col>0</xdr:col>
      <xdr:colOff>152400</xdr:colOff>
      <xdr:row>248</xdr:row>
      <xdr:rowOff>133350</xdr:rowOff>
    </xdr:to>
    <xdr:pic>
      <xdr:nvPicPr>
        <xdr:cNvPr id="302" name="Picture 261">
          <a:extLst>
            <a:ext uri="{FF2B5EF4-FFF2-40B4-BE49-F238E27FC236}">
              <a16:creationId xmlns:a16="http://schemas.microsoft.com/office/drawing/2014/main" id="{1B4210BC-1432-448C-84D6-80AC9050AC9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87394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235</xdr:row>
      <xdr:rowOff>0</xdr:rowOff>
    </xdr:from>
    <xdr:to>
      <xdr:col>0</xdr:col>
      <xdr:colOff>152400</xdr:colOff>
      <xdr:row>235</xdr:row>
      <xdr:rowOff>133350</xdr:rowOff>
    </xdr:to>
    <xdr:pic>
      <xdr:nvPicPr>
        <xdr:cNvPr id="303" name="Picture 260">
          <a:extLst>
            <a:ext uri="{FF2B5EF4-FFF2-40B4-BE49-F238E27FC236}">
              <a16:creationId xmlns:a16="http://schemas.microsoft.com/office/drawing/2014/main" id="{57574954-8A58-4CDC-8718-81DAB9BFA45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89013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236</xdr:row>
      <xdr:rowOff>0</xdr:rowOff>
    </xdr:from>
    <xdr:to>
      <xdr:col>0</xdr:col>
      <xdr:colOff>152400</xdr:colOff>
      <xdr:row>236</xdr:row>
      <xdr:rowOff>133350</xdr:rowOff>
    </xdr:to>
    <xdr:pic>
      <xdr:nvPicPr>
        <xdr:cNvPr id="304" name="Picture 259">
          <a:extLst>
            <a:ext uri="{FF2B5EF4-FFF2-40B4-BE49-F238E27FC236}">
              <a16:creationId xmlns:a16="http://schemas.microsoft.com/office/drawing/2014/main" id="{E2A1BFB8-50F7-4ABF-814C-14F853E58368}"/>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0632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237</xdr:row>
      <xdr:rowOff>0</xdr:rowOff>
    </xdr:from>
    <xdr:to>
      <xdr:col>0</xdr:col>
      <xdr:colOff>152400</xdr:colOff>
      <xdr:row>237</xdr:row>
      <xdr:rowOff>133350</xdr:rowOff>
    </xdr:to>
    <xdr:pic>
      <xdr:nvPicPr>
        <xdr:cNvPr id="305" name="Picture 258">
          <a:extLst>
            <a:ext uri="{FF2B5EF4-FFF2-40B4-BE49-F238E27FC236}">
              <a16:creationId xmlns:a16="http://schemas.microsoft.com/office/drawing/2014/main" id="{EEA0A0B0-7E68-44F3-92BA-919296CB47B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2252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238</xdr:row>
      <xdr:rowOff>0</xdr:rowOff>
    </xdr:from>
    <xdr:to>
      <xdr:col>0</xdr:col>
      <xdr:colOff>152400</xdr:colOff>
      <xdr:row>238</xdr:row>
      <xdr:rowOff>133350</xdr:rowOff>
    </xdr:to>
    <xdr:pic>
      <xdr:nvPicPr>
        <xdr:cNvPr id="306" name="Picture 257">
          <a:extLst>
            <a:ext uri="{FF2B5EF4-FFF2-40B4-BE49-F238E27FC236}">
              <a16:creationId xmlns:a16="http://schemas.microsoft.com/office/drawing/2014/main" id="{28716D0D-1FDE-4ED0-BA88-EE8B84CFAA3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3871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231</xdr:row>
      <xdr:rowOff>0</xdr:rowOff>
    </xdr:from>
    <xdr:to>
      <xdr:col>0</xdr:col>
      <xdr:colOff>152400</xdr:colOff>
      <xdr:row>231</xdr:row>
      <xdr:rowOff>133350</xdr:rowOff>
    </xdr:to>
    <xdr:pic>
      <xdr:nvPicPr>
        <xdr:cNvPr id="307" name="Picture 256">
          <a:extLst>
            <a:ext uri="{FF2B5EF4-FFF2-40B4-BE49-F238E27FC236}">
              <a16:creationId xmlns:a16="http://schemas.microsoft.com/office/drawing/2014/main" id="{E32F0364-C0EB-47F2-94DC-8FC8C4E1EBB7}"/>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5490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232</xdr:row>
      <xdr:rowOff>0</xdr:rowOff>
    </xdr:from>
    <xdr:to>
      <xdr:col>0</xdr:col>
      <xdr:colOff>152400</xdr:colOff>
      <xdr:row>232</xdr:row>
      <xdr:rowOff>133350</xdr:rowOff>
    </xdr:to>
    <xdr:pic>
      <xdr:nvPicPr>
        <xdr:cNvPr id="308" name="Picture 255">
          <a:extLst>
            <a:ext uri="{FF2B5EF4-FFF2-40B4-BE49-F238E27FC236}">
              <a16:creationId xmlns:a16="http://schemas.microsoft.com/office/drawing/2014/main" id="{49781D1C-1CC3-435F-B8A0-0D9830BE1FC5}"/>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7109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233</xdr:row>
      <xdr:rowOff>0</xdr:rowOff>
    </xdr:from>
    <xdr:to>
      <xdr:col>0</xdr:col>
      <xdr:colOff>152400</xdr:colOff>
      <xdr:row>233</xdr:row>
      <xdr:rowOff>133350</xdr:rowOff>
    </xdr:to>
    <xdr:pic>
      <xdr:nvPicPr>
        <xdr:cNvPr id="309" name="Picture 254">
          <a:extLst>
            <a:ext uri="{FF2B5EF4-FFF2-40B4-BE49-F238E27FC236}">
              <a16:creationId xmlns:a16="http://schemas.microsoft.com/office/drawing/2014/main" id="{13DD2E44-106B-425E-BC0A-9B46FF89CA6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8729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234</xdr:row>
      <xdr:rowOff>0</xdr:rowOff>
    </xdr:from>
    <xdr:to>
      <xdr:col>0</xdr:col>
      <xdr:colOff>152400</xdr:colOff>
      <xdr:row>234</xdr:row>
      <xdr:rowOff>133350</xdr:rowOff>
    </xdr:to>
    <xdr:pic>
      <xdr:nvPicPr>
        <xdr:cNvPr id="310" name="Picture 253">
          <a:extLst>
            <a:ext uri="{FF2B5EF4-FFF2-40B4-BE49-F238E27FC236}">
              <a16:creationId xmlns:a16="http://schemas.microsoft.com/office/drawing/2014/main" id="{388D024E-4F8D-47D0-BD54-3AA7E5D933A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0348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226</xdr:row>
      <xdr:rowOff>0</xdr:rowOff>
    </xdr:from>
    <xdr:to>
      <xdr:col>0</xdr:col>
      <xdr:colOff>152400</xdr:colOff>
      <xdr:row>226</xdr:row>
      <xdr:rowOff>133350</xdr:rowOff>
    </xdr:to>
    <xdr:pic>
      <xdr:nvPicPr>
        <xdr:cNvPr id="311" name="Picture 252">
          <a:extLst>
            <a:ext uri="{FF2B5EF4-FFF2-40B4-BE49-F238E27FC236}">
              <a16:creationId xmlns:a16="http://schemas.microsoft.com/office/drawing/2014/main" id="{5B05C25F-BDB0-4CA1-A295-F1794484673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1967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227</xdr:row>
      <xdr:rowOff>0</xdr:rowOff>
    </xdr:from>
    <xdr:to>
      <xdr:col>0</xdr:col>
      <xdr:colOff>152400</xdr:colOff>
      <xdr:row>227</xdr:row>
      <xdr:rowOff>133350</xdr:rowOff>
    </xdr:to>
    <xdr:pic>
      <xdr:nvPicPr>
        <xdr:cNvPr id="312" name="Picture 251">
          <a:extLst>
            <a:ext uri="{FF2B5EF4-FFF2-40B4-BE49-F238E27FC236}">
              <a16:creationId xmlns:a16="http://schemas.microsoft.com/office/drawing/2014/main" id="{73A5DA8B-9772-438B-9FB0-558B7F69BF7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3586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228</xdr:row>
      <xdr:rowOff>0</xdr:rowOff>
    </xdr:from>
    <xdr:to>
      <xdr:col>0</xdr:col>
      <xdr:colOff>152400</xdr:colOff>
      <xdr:row>228</xdr:row>
      <xdr:rowOff>133350</xdr:rowOff>
    </xdr:to>
    <xdr:pic>
      <xdr:nvPicPr>
        <xdr:cNvPr id="313" name="Picture 250">
          <a:extLst>
            <a:ext uri="{FF2B5EF4-FFF2-40B4-BE49-F238E27FC236}">
              <a16:creationId xmlns:a16="http://schemas.microsoft.com/office/drawing/2014/main" id="{70788972-06AC-43E3-90F8-62F271F95D1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5206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229</xdr:row>
      <xdr:rowOff>0</xdr:rowOff>
    </xdr:from>
    <xdr:to>
      <xdr:col>0</xdr:col>
      <xdr:colOff>152400</xdr:colOff>
      <xdr:row>229</xdr:row>
      <xdr:rowOff>133350</xdr:rowOff>
    </xdr:to>
    <xdr:pic>
      <xdr:nvPicPr>
        <xdr:cNvPr id="314" name="Picture 249">
          <a:extLst>
            <a:ext uri="{FF2B5EF4-FFF2-40B4-BE49-F238E27FC236}">
              <a16:creationId xmlns:a16="http://schemas.microsoft.com/office/drawing/2014/main" id="{400F4BD2-8AAC-4E6D-BF75-7D5DD8E805B3}"/>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6825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230</xdr:row>
      <xdr:rowOff>0</xdr:rowOff>
    </xdr:from>
    <xdr:to>
      <xdr:col>0</xdr:col>
      <xdr:colOff>152400</xdr:colOff>
      <xdr:row>230</xdr:row>
      <xdr:rowOff>133350</xdr:rowOff>
    </xdr:to>
    <xdr:pic>
      <xdr:nvPicPr>
        <xdr:cNvPr id="315" name="Picture 248">
          <a:extLst>
            <a:ext uri="{FF2B5EF4-FFF2-40B4-BE49-F238E27FC236}">
              <a16:creationId xmlns:a16="http://schemas.microsoft.com/office/drawing/2014/main" id="{9099C641-C85D-4C4E-8543-E83D4B23EFB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8444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221</xdr:row>
      <xdr:rowOff>0</xdr:rowOff>
    </xdr:from>
    <xdr:to>
      <xdr:col>0</xdr:col>
      <xdr:colOff>152400</xdr:colOff>
      <xdr:row>221</xdr:row>
      <xdr:rowOff>133350</xdr:rowOff>
    </xdr:to>
    <xdr:pic>
      <xdr:nvPicPr>
        <xdr:cNvPr id="316" name="Picture 247">
          <a:extLst>
            <a:ext uri="{FF2B5EF4-FFF2-40B4-BE49-F238E27FC236}">
              <a16:creationId xmlns:a16="http://schemas.microsoft.com/office/drawing/2014/main" id="{5E166469-93A1-42D2-B21D-A478713BE19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0063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222</xdr:row>
      <xdr:rowOff>0</xdr:rowOff>
    </xdr:from>
    <xdr:to>
      <xdr:col>0</xdr:col>
      <xdr:colOff>152400</xdr:colOff>
      <xdr:row>222</xdr:row>
      <xdr:rowOff>133350</xdr:rowOff>
    </xdr:to>
    <xdr:pic>
      <xdr:nvPicPr>
        <xdr:cNvPr id="317" name="Picture 246">
          <a:extLst>
            <a:ext uri="{FF2B5EF4-FFF2-40B4-BE49-F238E27FC236}">
              <a16:creationId xmlns:a16="http://schemas.microsoft.com/office/drawing/2014/main" id="{EB20704C-EC7F-444E-8005-7258EA028DE5}"/>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1683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223</xdr:row>
      <xdr:rowOff>0</xdr:rowOff>
    </xdr:from>
    <xdr:to>
      <xdr:col>0</xdr:col>
      <xdr:colOff>152400</xdr:colOff>
      <xdr:row>223</xdr:row>
      <xdr:rowOff>133350</xdr:rowOff>
    </xdr:to>
    <xdr:pic>
      <xdr:nvPicPr>
        <xdr:cNvPr id="318" name="Picture 245">
          <a:extLst>
            <a:ext uri="{FF2B5EF4-FFF2-40B4-BE49-F238E27FC236}">
              <a16:creationId xmlns:a16="http://schemas.microsoft.com/office/drawing/2014/main" id="{9AB4DFB7-A38B-4E3A-A177-99755928011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302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224</xdr:row>
      <xdr:rowOff>0</xdr:rowOff>
    </xdr:from>
    <xdr:to>
      <xdr:col>0</xdr:col>
      <xdr:colOff>152400</xdr:colOff>
      <xdr:row>224</xdr:row>
      <xdr:rowOff>133350</xdr:rowOff>
    </xdr:to>
    <xdr:pic>
      <xdr:nvPicPr>
        <xdr:cNvPr id="319" name="Picture 244">
          <a:extLst>
            <a:ext uri="{FF2B5EF4-FFF2-40B4-BE49-F238E27FC236}">
              <a16:creationId xmlns:a16="http://schemas.microsoft.com/office/drawing/2014/main" id="{78A3F02C-D0D7-420A-80EC-DBAFFC18297E}"/>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4921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225</xdr:row>
      <xdr:rowOff>0</xdr:rowOff>
    </xdr:from>
    <xdr:to>
      <xdr:col>0</xdr:col>
      <xdr:colOff>152400</xdr:colOff>
      <xdr:row>225</xdr:row>
      <xdr:rowOff>133350</xdr:rowOff>
    </xdr:to>
    <xdr:pic>
      <xdr:nvPicPr>
        <xdr:cNvPr id="320" name="Picture 243">
          <a:extLst>
            <a:ext uri="{FF2B5EF4-FFF2-40B4-BE49-F238E27FC236}">
              <a16:creationId xmlns:a16="http://schemas.microsoft.com/office/drawing/2014/main" id="{057E3EDC-72B7-4C01-B251-EED8CDDA81D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6540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216</xdr:row>
      <xdr:rowOff>0</xdr:rowOff>
    </xdr:from>
    <xdr:to>
      <xdr:col>0</xdr:col>
      <xdr:colOff>152400</xdr:colOff>
      <xdr:row>216</xdr:row>
      <xdr:rowOff>133350</xdr:rowOff>
    </xdr:to>
    <xdr:pic>
      <xdr:nvPicPr>
        <xdr:cNvPr id="321" name="Picture 242">
          <a:extLst>
            <a:ext uri="{FF2B5EF4-FFF2-40B4-BE49-F238E27FC236}">
              <a16:creationId xmlns:a16="http://schemas.microsoft.com/office/drawing/2014/main" id="{6460FFE5-1EEC-4985-8C56-8445E290E9B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8160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217</xdr:row>
      <xdr:rowOff>0</xdr:rowOff>
    </xdr:from>
    <xdr:to>
      <xdr:col>0</xdr:col>
      <xdr:colOff>152400</xdr:colOff>
      <xdr:row>217</xdr:row>
      <xdr:rowOff>133350</xdr:rowOff>
    </xdr:to>
    <xdr:pic>
      <xdr:nvPicPr>
        <xdr:cNvPr id="322" name="Picture 241">
          <a:extLst>
            <a:ext uri="{FF2B5EF4-FFF2-40B4-BE49-F238E27FC236}">
              <a16:creationId xmlns:a16="http://schemas.microsoft.com/office/drawing/2014/main" id="{CB817284-34B3-4F88-9158-4E7860FC780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9779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218</xdr:row>
      <xdr:rowOff>0</xdr:rowOff>
    </xdr:from>
    <xdr:to>
      <xdr:col>0</xdr:col>
      <xdr:colOff>152400</xdr:colOff>
      <xdr:row>218</xdr:row>
      <xdr:rowOff>133350</xdr:rowOff>
    </xdr:to>
    <xdr:pic>
      <xdr:nvPicPr>
        <xdr:cNvPr id="323" name="Picture 240">
          <a:extLst>
            <a:ext uri="{FF2B5EF4-FFF2-40B4-BE49-F238E27FC236}">
              <a16:creationId xmlns:a16="http://schemas.microsoft.com/office/drawing/2014/main" id="{CC7A9D99-460B-4446-B17F-28EE6F2B152C}"/>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21398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219</xdr:row>
      <xdr:rowOff>0</xdr:rowOff>
    </xdr:from>
    <xdr:to>
      <xdr:col>0</xdr:col>
      <xdr:colOff>152400</xdr:colOff>
      <xdr:row>219</xdr:row>
      <xdr:rowOff>133350</xdr:rowOff>
    </xdr:to>
    <xdr:pic>
      <xdr:nvPicPr>
        <xdr:cNvPr id="324" name="Picture 239">
          <a:extLst>
            <a:ext uri="{FF2B5EF4-FFF2-40B4-BE49-F238E27FC236}">
              <a16:creationId xmlns:a16="http://schemas.microsoft.com/office/drawing/2014/main" id="{0325586C-074D-4BE9-8981-D6685CC72E6E}"/>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23017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220</xdr:row>
      <xdr:rowOff>0</xdr:rowOff>
    </xdr:from>
    <xdr:to>
      <xdr:col>0</xdr:col>
      <xdr:colOff>152400</xdr:colOff>
      <xdr:row>220</xdr:row>
      <xdr:rowOff>133350</xdr:rowOff>
    </xdr:to>
    <xdr:pic>
      <xdr:nvPicPr>
        <xdr:cNvPr id="325" name="Picture 238">
          <a:extLst>
            <a:ext uri="{FF2B5EF4-FFF2-40B4-BE49-F238E27FC236}">
              <a16:creationId xmlns:a16="http://schemas.microsoft.com/office/drawing/2014/main" id="{656DE070-FF31-4C77-95BD-C479CFAB2988}"/>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24637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212</xdr:row>
      <xdr:rowOff>0</xdr:rowOff>
    </xdr:from>
    <xdr:to>
      <xdr:col>0</xdr:col>
      <xdr:colOff>152400</xdr:colOff>
      <xdr:row>212</xdr:row>
      <xdr:rowOff>133350</xdr:rowOff>
    </xdr:to>
    <xdr:pic>
      <xdr:nvPicPr>
        <xdr:cNvPr id="326" name="Picture 237">
          <a:extLst>
            <a:ext uri="{FF2B5EF4-FFF2-40B4-BE49-F238E27FC236}">
              <a16:creationId xmlns:a16="http://schemas.microsoft.com/office/drawing/2014/main" id="{F3D04A26-823E-4A22-AAB0-C0BE299A42A5}"/>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26256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213</xdr:row>
      <xdr:rowOff>0</xdr:rowOff>
    </xdr:from>
    <xdr:to>
      <xdr:col>0</xdr:col>
      <xdr:colOff>152400</xdr:colOff>
      <xdr:row>213</xdr:row>
      <xdr:rowOff>133350</xdr:rowOff>
    </xdr:to>
    <xdr:pic>
      <xdr:nvPicPr>
        <xdr:cNvPr id="327" name="Picture 236">
          <a:extLst>
            <a:ext uri="{FF2B5EF4-FFF2-40B4-BE49-F238E27FC236}">
              <a16:creationId xmlns:a16="http://schemas.microsoft.com/office/drawing/2014/main" id="{81CA65D3-EA72-407B-8C34-F687892FEDBE}"/>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27875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214</xdr:row>
      <xdr:rowOff>0</xdr:rowOff>
    </xdr:from>
    <xdr:to>
      <xdr:col>0</xdr:col>
      <xdr:colOff>152400</xdr:colOff>
      <xdr:row>214</xdr:row>
      <xdr:rowOff>133350</xdr:rowOff>
    </xdr:to>
    <xdr:pic>
      <xdr:nvPicPr>
        <xdr:cNvPr id="328" name="Picture 235">
          <a:extLst>
            <a:ext uri="{FF2B5EF4-FFF2-40B4-BE49-F238E27FC236}">
              <a16:creationId xmlns:a16="http://schemas.microsoft.com/office/drawing/2014/main" id="{CCFBE0C5-F5D1-4931-A619-31A5173D32B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29494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215</xdr:row>
      <xdr:rowOff>0</xdr:rowOff>
    </xdr:from>
    <xdr:to>
      <xdr:col>0</xdr:col>
      <xdr:colOff>152400</xdr:colOff>
      <xdr:row>215</xdr:row>
      <xdr:rowOff>133350</xdr:rowOff>
    </xdr:to>
    <xdr:pic>
      <xdr:nvPicPr>
        <xdr:cNvPr id="329" name="Picture 234">
          <a:extLst>
            <a:ext uri="{FF2B5EF4-FFF2-40B4-BE49-F238E27FC236}">
              <a16:creationId xmlns:a16="http://schemas.microsoft.com/office/drawing/2014/main" id="{0563FF6A-9560-4FED-BFA3-63E39B13186E}"/>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1114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207</xdr:row>
      <xdr:rowOff>0</xdr:rowOff>
    </xdr:from>
    <xdr:to>
      <xdr:col>0</xdr:col>
      <xdr:colOff>152400</xdr:colOff>
      <xdr:row>207</xdr:row>
      <xdr:rowOff>133350</xdr:rowOff>
    </xdr:to>
    <xdr:pic>
      <xdr:nvPicPr>
        <xdr:cNvPr id="330" name="Picture 233">
          <a:extLst>
            <a:ext uri="{FF2B5EF4-FFF2-40B4-BE49-F238E27FC236}">
              <a16:creationId xmlns:a16="http://schemas.microsoft.com/office/drawing/2014/main" id="{6E9B0A4D-4C31-4531-A9DC-81C40D50A488}"/>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2733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208</xdr:row>
      <xdr:rowOff>0</xdr:rowOff>
    </xdr:from>
    <xdr:to>
      <xdr:col>0</xdr:col>
      <xdr:colOff>152400</xdr:colOff>
      <xdr:row>208</xdr:row>
      <xdr:rowOff>133350</xdr:rowOff>
    </xdr:to>
    <xdr:pic>
      <xdr:nvPicPr>
        <xdr:cNvPr id="331" name="Picture 232">
          <a:extLst>
            <a:ext uri="{FF2B5EF4-FFF2-40B4-BE49-F238E27FC236}">
              <a16:creationId xmlns:a16="http://schemas.microsoft.com/office/drawing/2014/main" id="{90705823-83CD-4F30-B98D-A80CC63BF7C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4352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209</xdr:row>
      <xdr:rowOff>0</xdr:rowOff>
    </xdr:from>
    <xdr:to>
      <xdr:col>0</xdr:col>
      <xdr:colOff>152400</xdr:colOff>
      <xdr:row>209</xdr:row>
      <xdr:rowOff>133350</xdr:rowOff>
    </xdr:to>
    <xdr:pic>
      <xdr:nvPicPr>
        <xdr:cNvPr id="332" name="Picture 231">
          <a:extLst>
            <a:ext uri="{FF2B5EF4-FFF2-40B4-BE49-F238E27FC236}">
              <a16:creationId xmlns:a16="http://schemas.microsoft.com/office/drawing/2014/main" id="{6C54B9CA-EE1D-4A42-812B-74041EECDA93}"/>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5971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210</xdr:row>
      <xdr:rowOff>0</xdr:rowOff>
    </xdr:from>
    <xdr:to>
      <xdr:col>0</xdr:col>
      <xdr:colOff>152400</xdr:colOff>
      <xdr:row>210</xdr:row>
      <xdr:rowOff>133350</xdr:rowOff>
    </xdr:to>
    <xdr:pic>
      <xdr:nvPicPr>
        <xdr:cNvPr id="333" name="Picture 230">
          <a:extLst>
            <a:ext uri="{FF2B5EF4-FFF2-40B4-BE49-F238E27FC236}">
              <a16:creationId xmlns:a16="http://schemas.microsoft.com/office/drawing/2014/main" id="{49553191-8B92-4BCE-9C2B-96BD05F7CEA3}"/>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7591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211</xdr:row>
      <xdr:rowOff>0</xdr:rowOff>
    </xdr:from>
    <xdr:to>
      <xdr:col>0</xdr:col>
      <xdr:colOff>152400</xdr:colOff>
      <xdr:row>211</xdr:row>
      <xdr:rowOff>133350</xdr:rowOff>
    </xdr:to>
    <xdr:pic>
      <xdr:nvPicPr>
        <xdr:cNvPr id="334" name="Picture 229">
          <a:extLst>
            <a:ext uri="{FF2B5EF4-FFF2-40B4-BE49-F238E27FC236}">
              <a16:creationId xmlns:a16="http://schemas.microsoft.com/office/drawing/2014/main" id="{C0CE4B76-D746-492E-9859-EEEA6829C08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9210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202</xdr:row>
      <xdr:rowOff>0</xdr:rowOff>
    </xdr:from>
    <xdr:to>
      <xdr:col>0</xdr:col>
      <xdr:colOff>152400</xdr:colOff>
      <xdr:row>202</xdr:row>
      <xdr:rowOff>133350</xdr:rowOff>
    </xdr:to>
    <xdr:pic>
      <xdr:nvPicPr>
        <xdr:cNvPr id="336" name="Picture 227">
          <a:extLst>
            <a:ext uri="{FF2B5EF4-FFF2-40B4-BE49-F238E27FC236}">
              <a16:creationId xmlns:a16="http://schemas.microsoft.com/office/drawing/2014/main" id="{6C8DF73D-9DC7-4888-A54B-741B5C563A9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2448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203</xdr:row>
      <xdr:rowOff>0</xdr:rowOff>
    </xdr:from>
    <xdr:to>
      <xdr:col>0</xdr:col>
      <xdr:colOff>152400</xdr:colOff>
      <xdr:row>203</xdr:row>
      <xdr:rowOff>133350</xdr:rowOff>
    </xdr:to>
    <xdr:pic>
      <xdr:nvPicPr>
        <xdr:cNvPr id="337" name="Picture 226">
          <a:extLst>
            <a:ext uri="{FF2B5EF4-FFF2-40B4-BE49-F238E27FC236}">
              <a16:creationId xmlns:a16="http://schemas.microsoft.com/office/drawing/2014/main" id="{ABC282C2-472F-40A1-9BDA-E63A1C0DA4C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4068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204</xdr:row>
      <xdr:rowOff>0</xdr:rowOff>
    </xdr:from>
    <xdr:to>
      <xdr:col>0</xdr:col>
      <xdr:colOff>152400</xdr:colOff>
      <xdr:row>204</xdr:row>
      <xdr:rowOff>133350</xdr:rowOff>
    </xdr:to>
    <xdr:pic>
      <xdr:nvPicPr>
        <xdr:cNvPr id="338" name="Picture 225">
          <a:extLst>
            <a:ext uri="{FF2B5EF4-FFF2-40B4-BE49-F238E27FC236}">
              <a16:creationId xmlns:a16="http://schemas.microsoft.com/office/drawing/2014/main" id="{7DE00A6D-3B43-4882-8749-FEA160BEBEEA}"/>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5687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205</xdr:row>
      <xdr:rowOff>0</xdr:rowOff>
    </xdr:from>
    <xdr:to>
      <xdr:col>0</xdr:col>
      <xdr:colOff>152400</xdr:colOff>
      <xdr:row>205</xdr:row>
      <xdr:rowOff>133350</xdr:rowOff>
    </xdr:to>
    <xdr:pic>
      <xdr:nvPicPr>
        <xdr:cNvPr id="339" name="Picture 224">
          <a:extLst>
            <a:ext uri="{FF2B5EF4-FFF2-40B4-BE49-F238E27FC236}">
              <a16:creationId xmlns:a16="http://schemas.microsoft.com/office/drawing/2014/main" id="{B44B06F9-3DAD-44F1-8111-5598A6A7EE13}"/>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7306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206</xdr:row>
      <xdr:rowOff>0</xdr:rowOff>
    </xdr:from>
    <xdr:to>
      <xdr:col>0</xdr:col>
      <xdr:colOff>152400</xdr:colOff>
      <xdr:row>206</xdr:row>
      <xdr:rowOff>133350</xdr:rowOff>
    </xdr:to>
    <xdr:pic>
      <xdr:nvPicPr>
        <xdr:cNvPr id="340" name="Picture 223">
          <a:extLst>
            <a:ext uri="{FF2B5EF4-FFF2-40B4-BE49-F238E27FC236}">
              <a16:creationId xmlns:a16="http://schemas.microsoft.com/office/drawing/2014/main" id="{1A27306D-44B6-48E7-885F-308FE8DC637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8925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188</xdr:row>
      <xdr:rowOff>0</xdr:rowOff>
    </xdr:from>
    <xdr:to>
      <xdr:col>0</xdr:col>
      <xdr:colOff>152400</xdr:colOff>
      <xdr:row>188</xdr:row>
      <xdr:rowOff>133350</xdr:rowOff>
    </xdr:to>
    <xdr:pic>
      <xdr:nvPicPr>
        <xdr:cNvPr id="341" name="Picture 222">
          <a:extLst>
            <a:ext uri="{FF2B5EF4-FFF2-40B4-BE49-F238E27FC236}">
              <a16:creationId xmlns:a16="http://schemas.microsoft.com/office/drawing/2014/main" id="{7EAD9A0A-3466-4AF9-B0A7-DE80BB958EA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50545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189</xdr:row>
      <xdr:rowOff>0</xdr:rowOff>
    </xdr:from>
    <xdr:to>
      <xdr:col>0</xdr:col>
      <xdr:colOff>152400</xdr:colOff>
      <xdr:row>189</xdr:row>
      <xdr:rowOff>133350</xdr:rowOff>
    </xdr:to>
    <xdr:pic>
      <xdr:nvPicPr>
        <xdr:cNvPr id="342" name="Picture 221">
          <a:extLst>
            <a:ext uri="{FF2B5EF4-FFF2-40B4-BE49-F238E27FC236}">
              <a16:creationId xmlns:a16="http://schemas.microsoft.com/office/drawing/2014/main" id="{4E5878C2-6387-4A4A-A6AB-BF3B22BF033B}"/>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52164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190</xdr:row>
      <xdr:rowOff>0</xdr:rowOff>
    </xdr:from>
    <xdr:to>
      <xdr:col>0</xdr:col>
      <xdr:colOff>152400</xdr:colOff>
      <xdr:row>190</xdr:row>
      <xdr:rowOff>133350</xdr:rowOff>
    </xdr:to>
    <xdr:pic>
      <xdr:nvPicPr>
        <xdr:cNvPr id="343" name="Picture 220">
          <a:extLst>
            <a:ext uri="{FF2B5EF4-FFF2-40B4-BE49-F238E27FC236}">
              <a16:creationId xmlns:a16="http://schemas.microsoft.com/office/drawing/2014/main" id="{349EAFC4-D480-4776-8778-755D11097E3E}"/>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53783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191</xdr:row>
      <xdr:rowOff>0</xdr:rowOff>
    </xdr:from>
    <xdr:to>
      <xdr:col>0</xdr:col>
      <xdr:colOff>152400</xdr:colOff>
      <xdr:row>191</xdr:row>
      <xdr:rowOff>133350</xdr:rowOff>
    </xdr:to>
    <xdr:pic>
      <xdr:nvPicPr>
        <xdr:cNvPr id="344" name="Picture 219">
          <a:extLst>
            <a:ext uri="{FF2B5EF4-FFF2-40B4-BE49-F238E27FC236}">
              <a16:creationId xmlns:a16="http://schemas.microsoft.com/office/drawing/2014/main" id="{98A187A0-C90D-4FA5-8A67-40F1BC67BE1B}"/>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55402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192</xdr:row>
      <xdr:rowOff>0</xdr:rowOff>
    </xdr:from>
    <xdr:to>
      <xdr:col>0</xdr:col>
      <xdr:colOff>152400</xdr:colOff>
      <xdr:row>192</xdr:row>
      <xdr:rowOff>133350</xdr:rowOff>
    </xdr:to>
    <xdr:pic>
      <xdr:nvPicPr>
        <xdr:cNvPr id="345" name="Picture 218">
          <a:extLst>
            <a:ext uri="{FF2B5EF4-FFF2-40B4-BE49-F238E27FC236}">
              <a16:creationId xmlns:a16="http://schemas.microsoft.com/office/drawing/2014/main" id="{87737527-613B-4B55-8C3D-7B97B9B1523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57022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193</xdr:row>
      <xdr:rowOff>0</xdr:rowOff>
    </xdr:from>
    <xdr:to>
      <xdr:col>0</xdr:col>
      <xdr:colOff>152400</xdr:colOff>
      <xdr:row>193</xdr:row>
      <xdr:rowOff>133350</xdr:rowOff>
    </xdr:to>
    <xdr:pic>
      <xdr:nvPicPr>
        <xdr:cNvPr id="346" name="Picture 217">
          <a:extLst>
            <a:ext uri="{FF2B5EF4-FFF2-40B4-BE49-F238E27FC236}">
              <a16:creationId xmlns:a16="http://schemas.microsoft.com/office/drawing/2014/main" id="{B66541D9-178C-497C-B582-3FC213F0EB9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58641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194</xdr:row>
      <xdr:rowOff>0</xdr:rowOff>
    </xdr:from>
    <xdr:to>
      <xdr:col>0</xdr:col>
      <xdr:colOff>152400</xdr:colOff>
      <xdr:row>194</xdr:row>
      <xdr:rowOff>133350</xdr:rowOff>
    </xdr:to>
    <xdr:pic>
      <xdr:nvPicPr>
        <xdr:cNvPr id="347" name="Picture 216">
          <a:extLst>
            <a:ext uri="{FF2B5EF4-FFF2-40B4-BE49-F238E27FC236}">
              <a16:creationId xmlns:a16="http://schemas.microsoft.com/office/drawing/2014/main" id="{05CED346-C630-4053-B2CB-A864138F37E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60260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195</xdr:row>
      <xdr:rowOff>0</xdr:rowOff>
    </xdr:from>
    <xdr:to>
      <xdr:col>0</xdr:col>
      <xdr:colOff>152400</xdr:colOff>
      <xdr:row>195</xdr:row>
      <xdr:rowOff>133350</xdr:rowOff>
    </xdr:to>
    <xdr:pic>
      <xdr:nvPicPr>
        <xdr:cNvPr id="348" name="Picture 215">
          <a:extLst>
            <a:ext uri="{FF2B5EF4-FFF2-40B4-BE49-F238E27FC236}">
              <a16:creationId xmlns:a16="http://schemas.microsoft.com/office/drawing/2014/main" id="{F0B8BB49-F1D4-4325-9B3E-3AB7501E291C}"/>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61879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196</xdr:row>
      <xdr:rowOff>0</xdr:rowOff>
    </xdr:from>
    <xdr:to>
      <xdr:col>0</xdr:col>
      <xdr:colOff>152400</xdr:colOff>
      <xdr:row>196</xdr:row>
      <xdr:rowOff>133350</xdr:rowOff>
    </xdr:to>
    <xdr:pic>
      <xdr:nvPicPr>
        <xdr:cNvPr id="349" name="Picture 214">
          <a:extLst>
            <a:ext uri="{FF2B5EF4-FFF2-40B4-BE49-F238E27FC236}">
              <a16:creationId xmlns:a16="http://schemas.microsoft.com/office/drawing/2014/main" id="{E15135C7-C36D-45E0-99E8-31FB5764A2C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63499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197</xdr:row>
      <xdr:rowOff>0</xdr:rowOff>
    </xdr:from>
    <xdr:to>
      <xdr:col>0</xdr:col>
      <xdr:colOff>152400</xdr:colOff>
      <xdr:row>197</xdr:row>
      <xdr:rowOff>133350</xdr:rowOff>
    </xdr:to>
    <xdr:pic>
      <xdr:nvPicPr>
        <xdr:cNvPr id="350" name="Picture 213">
          <a:extLst>
            <a:ext uri="{FF2B5EF4-FFF2-40B4-BE49-F238E27FC236}">
              <a16:creationId xmlns:a16="http://schemas.microsoft.com/office/drawing/2014/main" id="{B96A6B8C-3E84-46F1-9072-26A42F65B63B}"/>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65118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198</xdr:row>
      <xdr:rowOff>0</xdr:rowOff>
    </xdr:from>
    <xdr:to>
      <xdr:col>0</xdr:col>
      <xdr:colOff>152400</xdr:colOff>
      <xdr:row>198</xdr:row>
      <xdr:rowOff>133350</xdr:rowOff>
    </xdr:to>
    <xdr:pic>
      <xdr:nvPicPr>
        <xdr:cNvPr id="351" name="Picture 212">
          <a:extLst>
            <a:ext uri="{FF2B5EF4-FFF2-40B4-BE49-F238E27FC236}">
              <a16:creationId xmlns:a16="http://schemas.microsoft.com/office/drawing/2014/main" id="{FE113C72-A40B-4383-AF65-EC13D8ABCA4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66737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199</xdr:row>
      <xdr:rowOff>0</xdr:rowOff>
    </xdr:from>
    <xdr:to>
      <xdr:col>0</xdr:col>
      <xdr:colOff>152400</xdr:colOff>
      <xdr:row>199</xdr:row>
      <xdr:rowOff>133350</xdr:rowOff>
    </xdr:to>
    <xdr:pic>
      <xdr:nvPicPr>
        <xdr:cNvPr id="352" name="Picture 211">
          <a:extLst>
            <a:ext uri="{FF2B5EF4-FFF2-40B4-BE49-F238E27FC236}">
              <a16:creationId xmlns:a16="http://schemas.microsoft.com/office/drawing/2014/main" id="{D3FE60BF-9773-44E2-9F4D-B10025C6118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68356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200</xdr:row>
      <xdr:rowOff>0</xdr:rowOff>
    </xdr:from>
    <xdr:to>
      <xdr:col>0</xdr:col>
      <xdr:colOff>152400</xdr:colOff>
      <xdr:row>200</xdr:row>
      <xdr:rowOff>133350</xdr:rowOff>
    </xdr:to>
    <xdr:pic>
      <xdr:nvPicPr>
        <xdr:cNvPr id="353" name="Picture 210">
          <a:extLst>
            <a:ext uri="{FF2B5EF4-FFF2-40B4-BE49-F238E27FC236}">
              <a16:creationId xmlns:a16="http://schemas.microsoft.com/office/drawing/2014/main" id="{91F6D239-19ED-4052-8056-2C3C8F4F5907}"/>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69976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201</xdr:row>
      <xdr:rowOff>0</xdr:rowOff>
    </xdr:from>
    <xdr:to>
      <xdr:col>0</xdr:col>
      <xdr:colOff>152400</xdr:colOff>
      <xdr:row>201</xdr:row>
      <xdr:rowOff>133350</xdr:rowOff>
    </xdr:to>
    <xdr:pic>
      <xdr:nvPicPr>
        <xdr:cNvPr id="354" name="Picture 209">
          <a:extLst>
            <a:ext uri="{FF2B5EF4-FFF2-40B4-BE49-F238E27FC236}">
              <a16:creationId xmlns:a16="http://schemas.microsoft.com/office/drawing/2014/main" id="{C0D650D4-00F0-4009-A809-90A7B80CD43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71595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183</xdr:row>
      <xdr:rowOff>0</xdr:rowOff>
    </xdr:from>
    <xdr:to>
      <xdr:col>0</xdr:col>
      <xdr:colOff>152400</xdr:colOff>
      <xdr:row>183</xdr:row>
      <xdr:rowOff>133350</xdr:rowOff>
    </xdr:to>
    <xdr:pic>
      <xdr:nvPicPr>
        <xdr:cNvPr id="355" name="Picture 208">
          <a:extLst>
            <a:ext uri="{FF2B5EF4-FFF2-40B4-BE49-F238E27FC236}">
              <a16:creationId xmlns:a16="http://schemas.microsoft.com/office/drawing/2014/main" id="{C3162027-B759-4C18-BE45-D070A067F277}"/>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73214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184</xdr:row>
      <xdr:rowOff>0</xdr:rowOff>
    </xdr:from>
    <xdr:to>
      <xdr:col>0</xdr:col>
      <xdr:colOff>152400</xdr:colOff>
      <xdr:row>184</xdr:row>
      <xdr:rowOff>133350</xdr:rowOff>
    </xdr:to>
    <xdr:pic>
      <xdr:nvPicPr>
        <xdr:cNvPr id="356" name="Picture 207">
          <a:extLst>
            <a:ext uri="{FF2B5EF4-FFF2-40B4-BE49-F238E27FC236}">
              <a16:creationId xmlns:a16="http://schemas.microsoft.com/office/drawing/2014/main" id="{C8B56DE3-C845-48AD-BA4A-E9EE6A0E07E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74833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185</xdr:row>
      <xdr:rowOff>0</xdr:rowOff>
    </xdr:from>
    <xdr:to>
      <xdr:col>0</xdr:col>
      <xdr:colOff>152400</xdr:colOff>
      <xdr:row>185</xdr:row>
      <xdr:rowOff>133350</xdr:rowOff>
    </xdr:to>
    <xdr:pic>
      <xdr:nvPicPr>
        <xdr:cNvPr id="357" name="Picture 206">
          <a:extLst>
            <a:ext uri="{FF2B5EF4-FFF2-40B4-BE49-F238E27FC236}">
              <a16:creationId xmlns:a16="http://schemas.microsoft.com/office/drawing/2014/main" id="{9E174DBC-218F-4A3B-99AF-D383078935E5}"/>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76453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186</xdr:row>
      <xdr:rowOff>0</xdr:rowOff>
    </xdr:from>
    <xdr:to>
      <xdr:col>0</xdr:col>
      <xdr:colOff>152400</xdr:colOff>
      <xdr:row>186</xdr:row>
      <xdr:rowOff>133350</xdr:rowOff>
    </xdr:to>
    <xdr:pic>
      <xdr:nvPicPr>
        <xdr:cNvPr id="358" name="Picture 205">
          <a:extLst>
            <a:ext uri="{FF2B5EF4-FFF2-40B4-BE49-F238E27FC236}">
              <a16:creationId xmlns:a16="http://schemas.microsoft.com/office/drawing/2014/main" id="{A138FAF2-DAA9-4523-80C2-F03B9567736B}"/>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78072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187</xdr:row>
      <xdr:rowOff>0</xdr:rowOff>
    </xdr:from>
    <xdr:to>
      <xdr:col>0</xdr:col>
      <xdr:colOff>152400</xdr:colOff>
      <xdr:row>187</xdr:row>
      <xdr:rowOff>133350</xdr:rowOff>
    </xdr:to>
    <xdr:pic>
      <xdr:nvPicPr>
        <xdr:cNvPr id="359" name="Picture 204">
          <a:extLst>
            <a:ext uri="{FF2B5EF4-FFF2-40B4-BE49-F238E27FC236}">
              <a16:creationId xmlns:a16="http://schemas.microsoft.com/office/drawing/2014/main" id="{653AE731-1CB8-474B-9F34-9317E5C3621E}"/>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79691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176</xdr:row>
      <xdr:rowOff>0</xdr:rowOff>
    </xdr:from>
    <xdr:to>
      <xdr:col>0</xdr:col>
      <xdr:colOff>152400</xdr:colOff>
      <xdr:row>176</xdr:row>
      <xdr:rowOff>133350</xdr:rowOff>
    </xdr:to>
    <xdr:pic>
      <xdr:nvPicPr>
        <xdr:cNvPr id="360" name="Picture 203">
          <a:extLst>
            <a:ext uri="{FF2B5EF4-FFF2-40B4-BE49-F238E27FC236}">
              <a16:creationId xmlns:a16="http://schemas.microsoft.com/office/drawing/2014/main" id="{F1872250-7295-467B-9D56-BDF5BB4A13F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81310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177</xdr:row>
      <xdr:rowOff>0</xdr:rowOff>
    </xdr:from>
    <xdr:to>
      <xdr:col>0</xdr:col>
      <xdr:colOff>152400</xdr:colOff>
      <xdr:row>177</xdr:row>
      <xdr:rowOff>133350</xdr:rowOff>
    </xdr:to>
    <xdr:pic>
      <xdr:nvPicPr>
        <xdr:cNvPr id="361" name="Picture 202">
          <a:extLst>
            <a:ext uri="{FF2B5EF4-FFF2-40B4-BE49-F238E27FC236}">
              <a16:creationId xmlns:a16="http://schemas.microsoft.com/office/drawing/2014/main" id="{023EB523-D1D8-47BA-B0B2-B6826473A5C3}"/>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82930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178</xdr:row>
      <xdr:rowOff>0</xdr:rowOff>
    </xdr:from>
    <xdr:to>
      <xdr:col>0</xdr:col>
      <xdr:colOff>152400</xdr:colOff>
      <xdr:row>178</xdr:row>
      <xdr:rowOff>133350</xdr:rowOff>
    </xdr:to>
    <xdr:pic>
      <xdr:nvPicPr>
        <xdr:cNvPr id="362" name="Picture 201">
          <a:extLst>
            <a:ext uri="{FF2B5EF4-FFF2-40B4-BE49-F238E27FC236}">
              <a16:creationId xmlns:a16="http://schemas.microsoft.com/office/drawing/2014/main" id="{AC3CC068-AEA7-4307-87A5-84556BF8BE9E}"/>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84549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179</xdr:row>
      <xdr:rowOff>0</xdr:rowOff>
    </xdr:from>
    <xdr:to>
      <xdr:col>0</xdr:col>
      <xdr:colOff>152400</xdr:colOff>
      <xdr:row>179</xdr:row>
      <xdr:rowOff>133350</xdr:rowOff>
    </xdr:to>
    <xdr:pic>
      <xdr:nvPicPr>
        <xdr:cNvPr id="363" name="Picture 200">
          <a:extLst>
            <a:ext uri="{FF2B5EF4-FFF2-40B4-BE49-F238E27FC236}">
              <a16:creationId xmlns:a16="http://schemas.microsoft.com/office/drawing/2014/main" id="{87001B61-EA5C-4006-A554-1984AFA255B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86168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180</xdr:row>
      <xdr:rowOff>0</xdr:rowOff>
    </xdr:from>
    <xdr:to>
      <xdr:col>0</xdr:col>
      <xdr:colOff>152400</xdr:colOff>
      <xdr:row>180</xdr:row>
      <xdr:rowOff>133350</xdr:rowOff>
    </xdr:to>
    <xdr:pic>
      <xdr:nvPicPr>
        <xdr:cNvPr id="364" name="Picture 199">
          <a:extLst>
            <a:ext uri="{FF2B5EF4-FFF2-40B4-BE49-F238E27FC236}">
              <a16:creationId xmlns:a16="http://schemas.microsoft.com/office/drawing/2014/main" id="{463494A8-CBDA-445A-B9D5-99ED5FE2E1D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87787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181</xdr:row>
      <xdr:rowOff>0</xdr:rowOff>
    </xdr:from>
    <xdr:to>
      <xdr:col>0</xdr:col>
      <xdr:colOff>152400</xdr:colOff>
      <xdr:row>181</xdr:row>
      <xdr:rowOff>133350</xdr:rowOff>
    </xdr:to>
    <xdr:pic>
      <xdr:nvPicPr>
        <xdr:cNvPr id="365" name="Picture 198">
          <a:extLst>
            <a:ext uri="{FF2B5EF4-FFF2-40B4-BE49-F238E27FC236}">
              <a16:creationId xmlns:a16="http://schemas.microsoft.com/office/drawing/2014/main" id="{B5DB897B-FB66-41B6-9233-3F017C27230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89407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182</xdr:row>
      <xdr:rowOff>0</xdr:rowOff>
    </xdr:from>
    <xdr:to>
      <xdr:col>0</xdr:col>
      <xdr:colOff>152400</xdr:colOff>
      <xdr:row>182</xdr:row>
      <xdr:rowOff>133350</xdr:rowOff>
    </xdr:to>
    <xdr:pic>
      <xdr:nvPicPr>
        <xdr:cNvPr id="366" name="Picture 197">
          <a:extLst>
            <a:ext uri="{FF2B5EF4-FFF2-40B4-BE49-F238E27FC236}">
              <a16:creationId xmlns:a16="http://schemas.microsoft.com/office/drawing/2014/main" id="{8386F9E3-2E73-4441-861E-FC2709A6F41A}"/>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91026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171</xdr:row>
      <xdr:rowOff>0</xdr:rowOff>
    </xdr:from>
    <xdr:to>
      <xdr:col>0</xdr:col>
      <xdr:colOff>152400</xdr:colOff>
      <xdr:row>171</xdr:row>
      <xdr:rowOff>133350</xdr:rowOff>
    </xdr:to>
    <xdr:pic>
      <xdr:nvPicPr>
        <xdr:cNvPr id="367" name="Picture 196">
          <a:extLst>
            <a:ext uri="{FF2B5EF4-FFF2-40B4-BE49-F238E27FC236}">
              <a16:creationId xmlns:a16="http://schemas.microsoft.com/office/drawing/2014/main" id="{5CE659AC-6E06-4B1E-89D1-3105A53ECEFC}"/>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92645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172</xdr:row>
      <xdr:rowOff>0</xdr:rowOff>
    </xdr:from>
    <xdr:to>
      <xdr:col>0</xdr:col>
      <xdr:colOff>152400</xdr:colOff>
      <xdr:row>172</xdr:row>
      <xdr:rowOff>133350</xdr:rowOff>
    </xdr:to>
    <xdr:pic>
      <xdr:nvPicPr>
        <xdr:cNvPr id="368" name="Picture 195">
          <a:extLst>
            <a:ext uri="{FF2B5EF4-FFF2-40B4-BE49-F238E27FC236}">
              <a16:creationId xmlns:a16="http://schemas.microsoft.com/office/drawing/2014/main" id="{09B5BE2B-C2D6-4DD1-BC7F-1723997AE4BA}"/>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94264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173</xdr:row>
      <xdr:rowOff>0</xdr:rowOff>
    </xdr:from>
    <xdr:to>
      <xdr:col>0</xdr:col>
      <xdr:colOff>152400</xdr:colOff>
      <xdr:row>173</xdr:row>
      <xdr:rowOff>133350</xdr:rowOff>
    </xdr:to>
    <xdr:pic>
      <xdr:nvPicPr>
        <xdr:cNvPr id="369" name="Picture 194">
          <a:extLst>
            <a:ext uri="{FF2B5EF4-FFF2-40B4-BE49-F238E27FC236}">
              <a16:creationId xmlns:a16="http://schemas.microsoft.com/office/drawing/2014/main" id="{168A8047-E45C-4D51-825C-A667046E60E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95884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174</xdr:row>
      <xdr:rowOff>0</xdr:rowOff>
    </xdr:from>
    <xdr:to>
      <xdr:col>0</xdr:col>
      <xdr:colOff>152400</xdr:colOff>
      <xdr:row>174</xdr:row>
      <xdr:rowOff>133350</xdr:rowOff>
    </xdr:to>
    <xdr:pic>
      <xdr:nvPicPr>
        <xdr:cNvPr id="370" name="Picture 193">
          <a:extLst>
            <a:ext uri="{FF2B5EF4-FFF2-40B4-BE49-F238E27FC236}">
              <a16:creationId xmlns:a16="http://schemas.microsoft.com/office/drawing/2014/main" id="{693DF020-D36E-430E-B5AA-A91464AB752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97503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175</xdr:row>
      <xdr:rowOff>0</xdr:rowOff>
    </xdr:from>
    <xdr:to>
      <xdr:col>0</xdr:col>
      <xdr:colOff>152400</xdr:colOff>
      <xdr:row>175</xdr:row>
      <xdr:rowOff>133350</xdr:rowOff>
    </xdr:to>
    <xdr:pic>
      <xdr:nvPicPr>
        <xdr:cNvPr id="371" name="Picture 192">
          <a:extLst>
            <a:ext uri="{FF2B5EF4-FFF2-40B4-BE49-F238E27FC236}">
              <a16:creationId xmlns:a16="http://schemas.microsoft.com/office/drawing/2014/main" id="{065E3BCD-ED66-495D-B135-08996A7DE6E7}"/>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99122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167</xdr:row>
      <xdr:rowOff>0</xdr:rowOff>
    </xdr:from>
    <xdr:to>
      <xdr:col>0</xdr:col>
      <xdr:colOff>152400</xdr:colOff>
      <xdr:row>167</xdr:row>
      <xdr:rowOff>133350</xdr:rowOff>
    </xdr:to>
    <xdr:pic>
      <xdr:nvPicPr>
        <xdr:cNvPr id="372" name="Picture 191">
          <a:extLst>
            <a:ext uri="{FF2B5EF4-FFF2-40B4-BE49-F238E27FC236}">
              <a16:creationId xmlns:a16="http://schemas.microsoft.com/office/drawing/2014/main" id="{1CA35D40-B7AD-45BE-8150-0EFB0A5622B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00741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168</xdr:row>
      <xdr:rowOff>0</xdr:rowOff>
    </xdr:from>
    <xdr:to>
      <xdr:col>0</xdr:col>
      <xdr:colOff>152400</xdr:colOff>
      <xdr:row>168</xdr:row>
      <xdr:rowOff>133350</xdr:rowOff>
    </xdr:to>
    <xdr:pic>
      <xdr:nvPicPr>
        <xdr:cNvPr id="373" name="Picture 190">
          <a:extLst>
            <a:ext uri="{FF2B5EF4-FFF2-40B4-BE49-F238E27FC236}">
              <a16:creationId xmlns:a16="http://schemas.microsoft.com/office/drawing/2014/main" id="{3FEB28E8-1908-4694-81C6-D002D1BE4F2E}"/>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02361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169</xdr:row>
      <xdr:rowOff>0</xdr:rowOff>
    </xdr:from>
    <xdr:to>
      <xdr:col>0</xdr:col>
      <xdr:colOff>152400</xdr:colOff>
      <xdr:row>169</xdr:row>
      <xdr:rowOff>133350</xdr:rowOff>
    </xdr:to>
    <xdr:pic>
      <xdr:nvPicPr>
        <xdr:cNvPr id="374" name="Picture 189">
          <a:extLst>
            <a:ext uri="{FF2B5EF4-FFF2-40B4-BE49-F238E27FC236}">
              <a16:creationId xmlns:a16="http://schemas.microsoft.com/office/drawing/2014/main" id="{52EDBDE7-133F-40C8-8478-22FB816CDB0C}"/>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03980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170</xdr:row>
      <xdr:rowOff>0</xdr:rowOff>
    </xdr:from>
    <xdr:to>
      <xdr:col>0</xdr:col>
      <xdr:colOff>152400</xdr:colOff>
      <xdr:row>170</xdr:row>
      <xdr:rowOff>133350</xdr:rowOff>
    </xdr:to>
    <xdr:pic>
      <xdr:nvPicPr>
        <xdr:cNvPr id="375" name="Picture 188">
          <a:extLst>
            <a:ext uri="{FF2B5EF4-FFF2-40B4-BE49-F238E27FC236}">
              <a16:creationId xmlns:a16="http://schemas.microsoft.com/office/drawing/2014/main" id="{51FEDB69-AE93-4F5E-8BB5-777C64D51A83}"/>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05599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163</xdr:row>
      <xdr:rowOff>0</xdr:rowOff>
    </xdr:from>
    <xdr:to>
      <xdr:col>0</xdr:col>
      <xdr:colOff>152400</xdr:colOff>
      <xdr:row>163</xdr:row>
      <xdr:rowOff>133350</xdr:rowOff>
    </xdr:to>
    <xdr:pic>
      <xdr:nvPicPr>
        <xdr:cNvPr id="376" name="Picture 187">
          <a:extLst>
            <a:ext uri="{FF2B5EF4-FFF2-40B4-BE49-F238E27FC236}">
              <a16:creationId xmlns:a16="http://schemas.microsoft.com/office/drawing/2014/main" id="{70A306DB-95FF-491E-880A-51F415A4FFB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07218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164</xdr:row>
      <xdr:rowOff>0</xdr:rowOff>
    </xdr:from>
    <xdr:to>
      <xdr:col>0</xdr:col>
      <xdr:colOff>152400</xdr:colOff>
      <xdr:row>164</xdr:row>
      <xdr:rowOff>133350</xdr:rowOff>
    </xdr:to>
    <xdr:pic>
      <xdr:nvPicPr>
        <xdr:cNvPr id="377" name="Picture 186">
          <a:extLst>
            <a:ext uri="{FF2B5EF4-FFF2-40B4-BE49-F238E27FC236}">
              <a16:creationId xmlns:a16="http://schemas.microsoft.com/office/drawing/2014/main" id="{DEF435F5-9A9E-415A-8919-BEB6C14D727E}"/>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08838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165</xdr:row>
      <xdr:rowOff>0</xdr:rowOff>
    </xdr:from>
    <xdr:to>
      <xdr:col>0</xdr:col>
      <xdr:colOff>152400</xdr:colOff>
      <xdr:row>165</xdr:row>
      <xdr:rowOff>133350</xdr:rowOff>
    </xdr:to>
    <xdr:pic>
      <xdr:nvPicPr>
        <xdr:cNvPr id="378" name="Picture 185">
          <a:extLst>
            <a:ext uri="{FF2B5EF4-FFF2-40B4-BE49-F238E27FC236}">
              <a16:creationId xmlns:a16="http://schemas.microsoft.com/office/drawing/2014/main" id="{FE1E43DC-980A-4322-8813-88E2C08CBB0C}"/>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10457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166</xdr:row>
      <xdr:rowOff>0</xdr:rowOff>
    </xdr:from>
    <xdr:to>
      <xdr:col>0</xdr:col>
      <xdr:colOff>152400</xdr:colOff>
      <xdr:row>166</xdr:row>
      <xdr:rowOff>133350</xdr:rowOff>
    </xdr:to>
    <xdr:pic>
      <xdr:nvPicPr>
        <xdr:cNvPr id="379" name="Picture 184">
          <a:extLst>
            <a:ext uri="{FF2B5EF4-FFF2-40B4-BE49-F238E27FC236}">
              <a16:creationId xmlns:a16="http://schemas.microsoft.com/office/drawing/2014/main" id="{BFB874C2-F02F-498C-8BB5-A16E985A81C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12076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158</xdr:row>
      <xdr:rowOff>0</xdr:rowOff>
    </xdr:from>
    <xdr:to>
      <xdr:col>0</xdr:col>
      <xdr:colOff>152400</xdr:colOff>
      <xdr:row>158</xdr:row>
      <xdr:rowOff>133350</xdr:rowOff>
    </xdr:to>
    <xdr:pic>
      <xdr:nvPicPr>
        <xdr:cNvPr id="380" name="Picture 183">
          <a:extLst>
            <a:ext uri="{FF2B5EF4-FFF2-40B4-BE49-F238E27FC236}">
              <a16:creationId xmlns:a16="http://schemas.microsoft.com/office/drawing/2014/main" id="{CDE177EF-2417-4478-AE89-42E2AA78EC6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13695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159</xdr:row>
      <xdr:rowOff>0</xdr:rowOff>
    </xdr:from>
    <xdr:to>
      <xdr:col>0</xdr:col>
      <xdr:colOff>152400</xdr:colOff>
      <xdr:row>159</xdr:row>
      <xdr:rowOff>133350</xdr:rowOff>
    </xdr:to>
    <xdr:pic>
      <xdr:nvPicPr>
        <xdr:cNvPr id="381" name="Picture 182">
          <a:extLst>
            <a:ext uri="{FF2B5EF4-FFF2-40B4-BE49-F238E27FC236}">
              <a16:creationId xmlns:a16="http://schemas.microsoft.com/office/drawing/2014/main" id="{2A6574FD-EBB2-41D6-A11E-6645CFF7A52B}"/>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15315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160</xdr:row>
      <xdr:rowOff>0</xdr:rowOff>
    </xdr:from>
    <xdr:to>
      <xdr:col>0</xdr:col>
      <xdr:colOff>152400</xdr:colOff>
      <xdr:row>160</xdr:row>
      <xdr:rowOff>133350</xdr:rowOff>
    </xdr:to>
    <xdr:pic>
      <xdr:nvPicPr>
        <xdr:cNvPr id="382" name="Picture 181">
          <a:extLst>
            <a:ext uri="{FF2B5EF4-FFF2-40B4-BE49-F238E27FC236}">
              <a16:creationId xmlns:a16="http://schemas.microsoft.com/office/drawing/2014/main" id="{AA975D05-9FB1-4979-B211-DE13EBEBEABC}"/>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16934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161</xdr:row>
      <xdr:rowOff>0</xdr:rowOff>
    </xdr:from>
    <xdr:to>
      <xdr:col>0</xdr:col>
      <xdr:colOff>152400</xdr:colOff>
      <xdr:row>161</xdr:row>
      <xdr:rowOff>133350</xdr:rowOff>
    </xdr:to>
    <xdr:pic>
      <xdr:nvPicPr>
        <xdr:cNvPr id="383" name="Picture 180">
          <a:extLst>
            <a:ext uri="{FF2B5EF4-FFF2-40B4-BE49-F238E27FC236}">
              <a16:creationId xmlns:a16="http://schemas.microsoft.com/office/drawing/2014/main" id="{D80D1010-E43A-4E80-941F-7B944E266C8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18553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162</xdr:row>
      <xdr:rowOff>0</xdr:rowOff>
    </xdr:from>
    <xdr:to>
      <xdr:col>0</xdr:col>
      <xdr:colOff>152400</xdr:colOff>
      <xdr:row>162</xdr:row>
      <xdr:rowOff>133350</xdr:rowOff>
    </xdr:to>
    <xdr:pic>
      <xdr:nvPicPr>
        <xdr:cNvPr id="384" name="Picture 179">
          <a:extLst>
            <a:ext uri="{FF2B5EF4-FFF2-40B4-BE49-F238E27FC236}">
              <a16:creationId xmlns:a16="http://schemas.microsoft.com/office/drawing/2014/main" id="{35FD68DA-D09E-4112-B8CD-9F19E0125CA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20172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152</xdr:row>
      <xdr:rowOff>0</xdr:rowOff>
    </xdr:from>
    <xdr:to>
      <xdr:col>0</xdr:col>
      <xdr:colOff>152400</xdr:colOff>
      <xdr:row>152</xdr:row>
      <xdr:rowOff>133350</xdr:rowOff>
    </xdr:to>
    <xdr:pic>
      <xdr:nvPicPr>
        <xdr:cNvPr id="385" name="Picture 178">
          <a:extLst>
            <a:ext uri="{FF2B5EF4-FFF2-40B4-BE49-F238E27FC236}">
              <a16:creationId xmlns:a16="http://schemas.microsoft.com/office/drawing/2014/main" id="{05CC3550-101A-49E4-A02F-088FB299581C}"/>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21792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153</xdr:row>
      <xdr:rowOff>0</xdr:rowOff>
    </xdr:from>
    <xdr:to>
      <xdr:col>0</xdr:col>
      <xdr:colOff>152400</xdr:colOff>
      <xdr:row>153</xdr:row>
      <xdr:rowOff>133350</xdr:rowOff>
    </xdr:to>
    <xdr:pic>
      <xdr:nvPicPr>
        <xdr:cNvPr id="386" name="Picture 177">
          <a:extLst>
            <a:ext uri="{FF2B5EF4-FFF2-40B4-BE49-F238E27FC236}">
              <a16:creationId xmlns:a16="http://schemas.microsoft.com/office/drawing/2014/main" id="{5962D6B0-D9CA-40C8-BECB-9FA4293515D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23411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154</xdr:row>
      <xdr:rowOff>0</xdr:rowOff>
    </xdr:from>
    <xdr:to>
      <xdr:col>0</xdr:col>
      <xdr:colOff>152400</xdr:colOff>
      <xdr:row>154</xdr:row>
      <xdr:rowOff>133350</xdr:rowOff>
    </xdr:to>
    <xdr:pic>
      <xdr:nvPicPr>
        <xdr:cNvPr id="387" name="Picture 176">
          <a:extLst>
            <a:ext uri="{FF2B5EF4-FFF2-40B4-BE49-F238E27FC236}">
              <a16:creationId xmlns:a16="http://schemas.microsoft.com/office/drawing/2014/main" id="{8B365646-D5A7-4C50-9CD5-51B8B5179115}"/>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25030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155</xdr:row>
      <xdr:rowOff>0</xdr:rowOff>
    </xdr:from>
    <xdr:to>
      <xdr:col>0</xdr:col>
      <xdr:colOff>152400</xdr:colOff>
      <xdr:row>155</xdr:row>
      <xdr:rowOff>133350</xdr:rowOff>
    </xdr:to>
    <xdr:pic>
      <xdr:nvPicPr>
        <xdr:cNvPr id="388" name="Picture 175">
          <a:extLst>
            <a:ext uri="{FF2B5EF4-FFF2-40B4-BE49-F238E27FC236}">
              <a16:creationId xmlns:a16="http://schemas.microsoft.com/office/drawing/2014/main" id="{A56B8402-C96A-491B-B468-BFEB29A0E07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26649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156</xdr:row>
      <xdr:rowOff>0</xdr:rowOff>
    </xdr:from>
    <xdr:to>
      <xdr:col>0</xdr:col>
      <xdr:colOff>152400</xdr:colOff>
      <xdr:row>156</xdr:row>
      <xdr:rowOff>133350</xdr:rowOff>
    </xdr:to>
    <xdr:pic>
      <xdr:nvPicPr>
        <xdr:cNvPr id="389" name="Picture 174">
          <a:extLst>
            <a:ext uri="{FF2B5EF4-FFF2-40B4-BE49-F238E27FC236}">
              <a16:creationId xmlns:a16="http://schemas.microsoft.com/office/drawing/2014/main" id="{6BA068D5-F10A-4C1D-B983-19BF29687C8A}"/>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28269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157</xdr:row>
      <xdr:rowOff>0</xdr:rowOff>
    </xdr:from>
    <xdr:to>
      <xdr:col>0</xdr:col>
      <xdr:colOff>152400</xdr:colOff>
      <xdr:row>157</xdr:row>
      <xdr:rowOff>133350</xdr:rowOff>
    </xdr:to>
    <xdr:pic>
      <xdr:nvPicPr>
        <xdr:cNvPr id="390" name="Picture 173">
          <a:extLst>
            <a:ext uri="{FF2B5EF4-FFF2-40B4-BE49-F238E27FC236}">
              <a16:creationId xmlns:a16="http://schemas.microsoft.com/office/drawing/2014/main" id="{7F5CF524-FA13-40D3-9E70-BFAB5EF103A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29888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145</xdr:row>
      <xdr:rowOff>0</xdr:rowOff>
    </xdr:from>
    <xdr:to>
      <xdr:col>0</xdr:col>
      <xdr:colOff>152400</xdr:colOff>
      <xdr:row>145</xdr:row>
      <xdr:rowOff>133350</xdr:rowOff>
    </xdr:to>
    <xdr:pic>
      <xdr:nvPicPr>
        <xdr:cNvPr id="391" name="Picture 172">
          <a:extLst>
            <a:ext uri="{FF2B5EF4-FFF2-40B4-BE49-F238E27FC236}">
              <a16:creationId xmlns:a16="http://schemas.microsoft.com/office/drawing/2014/main" id="{173397BA-2943-47C9-BF69-8509C3322F98}"/>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31507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146</xdr:row>
      <xdr:rowOff>0</xdr:rowOff>
    </xdr:from>
    <xdr:to>
      <xdr:col>0</xdr:col>
      <xdr:colOff>152400</xdr:colOff>
      <xdr:row>146</xdr:row>
      <xdr:rowOff>133350</xdr:rowOff>
    </xdr:to>
    <xdr:pic>
      <xdr:nvPicPr>
        <xdr:cNvPr id="392" name="Picture 171">
          <a:extLst>
            <a:ext uri="{FF2B5EF4-FFF2-40B4-BE49-F238E27FC236}">
              <a16:creationId xmlns:a16="http://schemas.microsoft.com/office/drawing/2014/main" id="{241FB979-10C1-4EF9-AAFF-AB5E72D3527E}"/>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33126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147</xdr:row>
      <xdr:rowOff>0</xdr:rowOff>
    </xdr:from>
    <xdr:to>
      <xdr:col>0</xdr:col>
      <xdr:colOff>152400</xdr:colOff>
      <xdr:row>147</xdr:row>
      <xdr:rowOff>133350</xdr:rowOff>
    </xdr:to>
    <xdr:pic>
      <xdr:nvPicPr>
        <xdr:cNvPr id="393" name="Picture 170">
          <a:extLst>
            <a:ext uri="{FF2B5EF4-FFF2-40B4-BE49-F238E27FC236}">
              <a16:creationId xmlns:a16="http://schemas.microsoft.com/office/drawing/2014/main" id="{2DE6F9AC-46A7-4EE1-A723-BF1B35F0CBB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34746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148</xdr:row>
      <xdr:rowOff>0</xdr:rowOff>
    </xdr:from>
    <xdr:to>
      <xdr:col>0</xdr:col>
      <xdr:colOff>152400</xdr:colOff>
      <xdr:row>148</xdr:row>
      <xdr:rowOff>133350</xdr:rowOff>
    </xdr:to>
    <xdr:pic>
      <xdr:nvPicPr>
        <xdr:cNvPr id="394" name="Picture 169">
          <a:extLst>
            <a:ext uri="{FF2B5EF4-FFF2-40B4-BE49-F238E27FC236}">
              <a16:creationId xmlns:a16="http://schemas.microsoft.com/office/drawing/2014/main" id="{6AEE0B8E-1FB6-4A3E-A3FE-888C16C9272E}"/>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36365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149</xdr:row>
      <xdr:rowOff>0</xdr:rowOff>
    </xdr:from>
    <xdr:to>
      <xdr:col>0</xdr:col>
      <xdr:colOff>152400</xdr:colOff>
      <xdr:row>149</xdr:row>
      <xdr:rowOff>133350</xdr:rowOff>
    </xdr:to>
    <xdr:pic>
      <xdr:nvPicPr>
        <xdr:cNvPr id="395" name="Picture 168">
          <a:extLst>
            <a:ext uri="{FF2B5EF4-FFF2-40B4-BE49-F238E27FC236}">
              <a16:creationId xmlns:a16="http://schemas.microsoft.com/office/drawing/2014/main" id="{9CFB3472-16BA-4B6E-BAA3-A0DB299D47F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37984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150</xdr:row>
      <xdr:rowOff>0</xdr:rowOff>
    </xdr:from>
    <xdr:to>
      <xdr:col>0</xdr:col>
      <xdr:colOff>152400</xdr:colOff>
      <xdr:row>150</xdr:row>
      <xdr:rowOff>133350</xdr:rowOff>
    </xdr:to>
    <xdr:pic>
      <xdr:nvPicPr>
        <xdr:cNvPr id="396" name="Picture 167">
          <a:extLst>
            <a:ext uri="{FF2B5EF4-FFF2-40B4-BE49-F238E27FC236}">
              <a16:creationId xmlns:a16="http://schemas.microsoft.com/office/drawing/2014/main" id="{E132A51B-742D-460F-9F43-4EEB06777DE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39603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151</xdr:row>
      <xdr:rowOff>0</xdr:rowOff>
    </xdr:from>
    <xdr:to>
      <xdr:col>0</xdr:col>
      <xdr:colOff>152400</xdr:colOff>
      <xdr:row>151</xdr:row>
      <xdr:rowOff>133350</xdr:rowOff>
    </xdr:to>
    <xdr:pic>
      <xdr:nvPicPr>
        <xdr:cNvPr id="397" name="Picture 166">
          <a:extLst>
            <a:ext uri="{FF2B5EF4-FFF2-40B4-BE49-F238E27FC236}">
              <a16:creationId xmlns:a16="http://schemas.microsoft.com/office/drawing/2014/main" id="{856BCEF5-BA26-4A8E-A29E-C92CF8FC780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1223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140</xdr:row>
      <xdr:rowOff>0</xdr:rowOff>
    </xdr:from>
    <xdr:to>
      <xdr:col>0</xdr:col>
      <xdr:colOff>152400</xdr:colOff>
      <xdr:row>140</xdr:row>
      <xdr:rowOff>133350</xdr:rowOff>
    </xdr:to>
    <xdr:pic>
      <xdr:nvPicPr>
        <xdr:cNvPr id="398" name="Picture 165">
          <a:extLst>
            <a:ext uri="{FF2B5EF4-FFF2-40B4-BE49-F238E27FC236}">
              <a16:creationId xmlns:a16="http://schemas.microsoft.com/office/drawing/2014/main" id="{AFE12413-C438-44AB-B50E-03526EAC162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2842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141</xdr:row>
      <xdr:rowOff>0</xdr:rowOff>
    </xdr:from>
    <xdr:to>
      <xdr:col>0</xdr:col>
      <xdr:colOff>152400</xdr:colOff>
      <xdr:row>141</xdr:row>
      <xdr:rowOff>133350</xdr:rowOff>
    </xdr:to>
    <xdr:pic>
      <xdr:nvPicPr>
        <xdr:cNvPr id="399" name="Picture 164">
          <a:extLst>
            <a:ext uri="{FF2B5EF4-FFF2-40B4-BE49-F238E27FC236}">
              <a16:creationId xmlns:a16="http://schemas.microsoft.com/office/drawing/2014/main" id="{4CEC3DD0-6A4D-4485-8908-998EA9D60AFE}"/>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4461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142</xdr:row>
      <xdr:rowOff>0</xdr:rowOff>
    </xdr:from>
    <xdr:to>
      <xdr:col>0</xdr:col>
      <xdr:colOff>152400</xdr:colOff>
      <xdr:row>142</xdr:row>
      <xdr:rowOff>133350</xdr:rowOff>
    </xdr:to>
    <xdr:pic>
      <xdr:nvPicPr>
        <xdr:cNvPr id="400" name="Picture 163">
          <a:extLst>
            <a:ext uri="{FF2B5EF4-FFF2-40B4-BE49-F238E27FC236}">
              <a16:creationId xmlns:a16="http://schemas.microsoft.com/office/drawing/2014/main" id="{8CFE6AA9-407B-4CDF-9F36-CCEB4D971897}"/>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6080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143</xdr:row>
      <xdr:rowOff>0</xdr:rowOff>
    </xdr:from>
    <xdr:to>
      <xdr:col>0</xdr:col>
      <xdr:colOff>152400</xdr:colOff>
      <xdr:row>143</xdr:row>
      <xdr:rowOff>133350</xdr:rowOff>
    </xdr:to>
    <xdr:pic>
      <xdr:nvPicPr>
        <xdr:cNvPr id="401" name="Picture 162">
          <a:extLst>
            <a:ext uri="{FF2B5EF4-FFF2-40B4-BE49-F238E27FC236}">
              <a16:creationId xmlns:a16="http://schemas.microsoft.com/office/drawing/2014/main" id="{BF4FF13F-CDD5-480E-BD44-961E4B13BF7E}"/>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144</xdr:row>
      <xdr:rowOff>0</xdr:rowOff>
    </xdr:from>
    <xdr:to>
      <xdr:col>0</xdr:col>
      <xdr:colOff>152400</xdr:colOff>
      <xdr:row>144</xdr:row>
      <xdr:rowOff>133350</xdr:rowOff>
    </xdr:to>
    <xdr:pic>
      <xdr:nvPicPr>
        <xdr:cNvPr id="402" name="Picture 161">
          <a:extLst>
            <a:ext uri="{FF2B5EF4-FFF2-40B4-BE49-F238E27FC236}">
              <a16:creationId xmlns:a16="http://schemas.microsoft.com/office/drawing/2014/main" id="{D8A23C18-9147-461B-A27D-FE941F8CB60E}"/>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9319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136</xdr:row>
      <xdr:rowOff>0</xdr:rowOff>
    </xdr:from>
    <xdr:to>
      <xdr:col>0</xdr:col>
      <xdr:colOff>152400</xdr:colOff>
      <xdr:row>136</xdr:row>
      <xdr:rowOff>133350</xdr:rowOff>
    </xdr:to>
    <xdr:pic>
      <xdr:nvPicPr>
        <xdr:cNvPr id="403" name="Picture 160">
          <a:extLst>
            <a:ext uri="{FF2B5EF4-FFF2-40B4-BE49-F238E27FC236}">
              <a16:creationId xmlns:a16="http://schemas.microsoft.com/office/drawing/2014/main" id="{B64683A5-104B-4863-A334-F43570ED5E75}"/>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50938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137</xdr:row>
      <xdr:rowOff>0</xdr:rowOff>
    </xdr:from>
    <xdr:to>
      <xdr:col>0</xdr:col>
      <xdr:colOff>152400</xdr:colOff>
      <xdr:row>137</xdr:row>
      <xdr:rowOff>133350</xdr:rowOff>
    </xdr:to>
    <xdr:pic>
      <xdr:nvPicPr>
        <xdr:cNvPr id="404" name="Picture 159">
          <a:extLst>
            <a:ext uri="{FF2B5EF4-FFF2-40B4-BE49-F238E27FC236}">
              <a16:creationId xmlns:a16="http://schemas.microsoft.com/office/drawing/2014/main" id="{E1A84D14-6B70-4FF0-A0ED-79E0A6CCD50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52557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138</xdr:row>
      <xdr:rowOff>0</xdr:rowOff>
    </xdr:from>
    <xdr:to>
      <xdr:col>0</xdr:col>
      <xdr:colOff>152400</xdr:colOff>
      <xdr:row>138</xdr:row>
      <xdr:rowOff>133350</xdr:rowOff>
    </xdr:to>
    <xdr:pic>
      <xdr:nvPicPr>
        <xdr:cNvPr id="405" name="Picture 158">
          <a:extLst>
            <a:ext uri="{FF2B5EF4-FFF2-40B4-BE49-F238E27FC236}">
              <a16:creationId xmlns:a16="http://schemas.microsoft.com/office/drawing/2014/main" id="{AF5033B3-283C-4662-A695-6771AD03CD0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54177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139</xdr:row>
      <xdr:rowOff>0</xdr:rowOff>
    </xdr:from>
    <xdr:to>
      <xdr:col>0</xdr:col>
      <xdr:colOff>152400</xdr:colOff>
      <xdr:row>139</xdr:row>
      <xdr:rowOff>133350</xdr:rowOff>
    </xdr:to>
    <xdr:pic>
      <xdr:nvPicPr>
        <xdr:cNvPr id="406" name="Picture 157">
          <a:extLst>
            <a:ext uri="{FF2B5EF4-FFF2-40B4-BE49-F238E27FC236}">
              <a16:creationId xmlns:a16="http://schemas.microsoft.com/office/drawing/2014/main" id="{ED6D93F1-846B-4D1F-BB11-AC96A96D7D7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55796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127</xdr:row>
      <xdr:rowOff>0</xdr:rowOff>
    </xdr:from>
    <xdr:to>
      <xdr:col>0</xdr:col>
      <xdr:colOff>152400</xdr:colOff>
      <xdr:row>127</xdr:row>
      <xdr:rowOff>133350</xdr:rowOff>
    </xdr:to>
    <xdr:pic>
      <xdr:nvPicPr>
        <xdr:cNvPr id="407" name="Picture 156">
          <a:extLst>
            <a:ext uri="{FF2B5EF4-FFF2-40B4-BE49-F238E27FC236}">
              <a16:creationId xmlns:a16="http://schemas.microsoft.com/office/drawing/2014/main" id="{EBAF79ED-D380-477C-985C-404C86F9330A}"/>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57415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128</xdr:row>
      <xdr:rowOff>0</xdr:rowOff>
    </xdr:from>
    <xdr:to>
      <xdr:col>0</xdr:col>
      <xdr:colOff>152400</xdr:colOff>
      <xdr:row>128</xdr:row>
      <xdr:rowOff>133350</xdr:rowOff>
    </xdr:to>
    <xdr:pic>
      <xdr:nvPicPr>
        <xdr:cNvPr id="408" name="Picture 155">
          <a:extLst>
            <a:ext uri="{FF2B5EF4-FFF2-40B4-BE49-F238E27FC236}">
              <a16:creationId xmlns:a16="http://schemas.microsoft.com/office/drawing/2014/main" id="{9611EFD2-B662-4A24-8861-509AB314380A}"/>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59034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129</xdr:row>
      <xdr:rowOff>0</xdr:rowOff>
    </xdr:from>
    <xdr:to>
      <xdr:col>0</xdr:col>
      <xdr:colOff>152400</xdr:colOff>
      <xdr:row>129</xdr:row>
      <xdr:rowOff>133350</xdr:rowOff>
    </xdr:to>
    <xdr:pic>
      <xdr:nvPicPr>
        <xdr:cNvPr id="409" name="Picture 154">
          <a:extLst>
            <a:ext uri="{FF2B5EF4-FFF2-40B4-BE49-F238E27FC236}">
              <a16:creationId xmlns:a16="http://schemas.microsoft.com/office/drawing/2014/main" id="{A0433016-7A07-4E53-89AD-C05E4858487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60654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130</xdr:row>
      <xdr:rowOff>0</xdr:rowOff>
    </xdr:from>
    <xdr:to>
      <xdr:col>0</xdr:col>
      <xdr:colOff>152400</xdr:colOff>
      <xdr:row>130</xdr:row>
      <xdr:rowOff>133350</xdr:rowOff>
    </xdr:to>
    <xdr:pic>
      <xdr:nvPicPr>
        <xdr:cNvPr id="410" name="Picture 153">
          <a:extLst>
            <a:ext uri="{FF2B5EF4-FFF2-40B4-BE49-F238E27FC236}">
              <a16:creationId xmlns:a16="http://schemas.microsoft.com/office/drawing/2014/main" id="{CF854D4B-3E9B-485D-9B22-E8F09460D5A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62273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131</xdr:row>
      <xdr:rowOff>0</xdr:rowOff>
    </xdr:from>
    <xdr:to>
      <xdr:col>0</xdr:col>
      <xdr:colOff>152400</xdr:colOff>
      <xdr:row>131</xdr:row>
      <xdr:rowOff>133350</xdr:rowOff>
    </xdr:to>
    <xdr:pic>
      <xdr:nvPicPr>
        <xdr:cNvPr id="411" name="Picture 152">
          <a:extLst>
            <a:ext uri="{FF2B5EF4-FFF2-40B4-BE49-F238E27FC236}">
              <a16:creationId xmlns:a16="http://schemas.microsoft.com/office/drawing/2014/main" id="{2A4A1CCF-6B4E-4B19-AFAF-6C0D11C66F98}"/>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63892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132</xdr:row>
      <xdr:rowOff>0</xdr:rowOff>
    </xdr:from>
    <xdr:to>
      <xdr:col>0</xdr:col>
      <xdr:colOff>152400</xdr:colOff>
      <xdr:row>132</xdr:row>
      <xdr:rowOff>133350</xdr:rowOff>
    </xdr:to>
    <xdr:pic>
      <xdr:nvPicPr>
        <xdr:cNvPr id="412" name="Picture 151">
          <a:extLst>
            <a:ext uri="{FF2B5EF4-FFF2-40B4-BE49-F238E27FC236}">
              <a16:creationId xmlns:a16="http://schemas.microsoft.com/office/drawing/2014/main" id="{9BFFF07E-DF21-4546-AC60-3E2ADEEBA03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65511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133</xdr:row>
      <xdr:rowOff>0</xdr:rowOff>
    </xdr:from>
    <xdr:to>
      <xdr:col>0</xdr:col>
      <xdr:colOff>152400</xdr:colOff>
      <xdr:row>133</xdr:row>
      <xdr:rowOff>133350</xdr:rowOff>
    </xdr:to>
    <xdr:pic>
      <xdr:nvPicPr>
        <xdr:cNvPr id="413" name="Picture 150">
          <a:extLst>
            <a:ext uri="{FF2B5EF4-FFF2-40B4-BE49-F238E27FC236}">
              <a16:creationId xmlns:a16="http://schemas.microsoft.com/office/drawing/2014/main" id="{D5AE2CD5-5ADA-4E53-80F3-3A9C668C529C}"/>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67131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134</xdr:row>
      <xdr:rowOff>0</xdr:rowOff>
    </xdr:from>
    <xdr:to>
      <xdr:col>0</xdr:col>
      <xdr:colOff>152400</xdr:colOff>
      <xdr:row>134</xdr:row>
      <xdr:rowOff>133350</xdr:rowOff>
    </xdr:to>
    <xdr:pic>
      <xdr:nvPicPr>
        <xdr:cNvPr id="414" name="Picture 149">
          <a:extLst>
            <a:ext uri="{FF2B5EF4-FFF2-40B4-BE49-F238E27FC236}">
              <a16:creationId xmlns:a16="http://schemas.microsoft.com/office/drawing/2014/main" id="{CF751455-4BFE-451E-95C5-2CBEE3873185}"/>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68750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135</xdr:row>
      <xdr:rowOff>0</xdr:rowOff>
    </xdr:from>
    <xdr:to>
      <xdr:col>0</xdr:col>
      <xdr:colOff>152400</xdr:colOff>
      <xdr:row>135</xdr:row>
      <xdr:rowOff>133350</xdr:rowOff>
    </xdr:to>
    <xdr:pic>
      <xdr:nvPicPr>
        <xdr:cNvPr id="415" name="Picture 148">
          <a:extLst>
            <a:ext uri="{FF2B5EF4-FFF2-40B4-BE49-F238E27FC236}">
              <a16:creationId xmlns:a16="http://schemas.microsoft.com/office/drawing/2014/main" id="{611DCFD6-7F77-4E21-835A-99CABE43900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70369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124</xdr:row>
      <xdr:rowOff>0</xdr:rowOff>
    </xdr:from>
    <xdr:to>
      <xdr:col>0</xdr:col>
      <xdr:colOff>152400</xdr:colOff>
      <xdr:row>124</xdr:row>
      <xdr:rowOff>133350</xdr:rowOff>
    </xdr:to>
    <xdr:pic>
      <xdr:nvPicPr>
        <xdr:cNvPr id="416" name="Picture 147">
          <a:extLst>
            <a:ext uri="{FF2B5EF4-FFF2-40B4-BE49-F238E27FC236}">
              <a16:creationId xmlns:a16="http://schemas.microsoft.com/office/drawing/2014/main" id="{683B9291-1DB8-40F5-8324-A73F6FD7A2A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71988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125</xdr:row>
      <xdr:rowOff>0</xdr:rowOff>
    </xdr:from>
    <xdr:to>
      <xdr:col>0</xdr:col>
      <xdr:colOff>152400</xdr:colOff>
      <xdr:row>125</xdr:row>
      <xdr:rowOff>133350</xdr:rowOff>
    </xdr:to>
    <xdr:pic>
      <xdr:nvPicPr>
        <xdr:cNvPr id="417" name="Picture 146">
          <a:extLst>
            <a:ext uri="{FF2B5EF4-FFF2-40B4-BE49-F238E27FC236}">
              <a16:creationId xmlns:a16="http://schemas.microsoft.com/office/drawing/2014/main" id="{754B7736-F200-46AB-83DF-F2D99732C495}"/>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73608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126</xdr:row>
      <xdr:rowOff>0</xdr:rowOff>
    </xdr:from>
    <xdr:to>
      <xdr:col>0</xdr:col>
      <xdr:colOff>152400</xdr:colOff>
      <xdr:row>126</xdr:row>
      <xdr:rowOff>133350</xdr:rowOff>
    </xdr:to>
    <xdr:pic>
      <xdr:nvPicPr>
        <xdr:cNvPr id="420" name="Picture 143">
          <a:extLst>
            <a:ext uri="{FF2B5EF4-FFF2-40B4-BE49-F238E27FC236}">
              <a16:creationId xmlns:a16="http://schemas.microsoft.com/office/drawing/2014/main" id="{03EE62F4-508F-41F5-8C49-20E247DF5F8C}"/>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78465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119</xdr:row>
      <xdr:rowOff>0</xdr:rowOff>
    </xdr:from>
    <xdr:to>
      <xdr:col>0</xdr:col>
      <xdr:colOff>152400</xdr:colOff>
      <xdr:row>119</xdr:row>
      <xdr:rowOff>133350</xdr:rowOff>
    </xdr:to>
    <xdr:pic>
      <xdr:nvPicPr>
        <xdr:cNvPr id="424" name="Picture 139">
          <a:extLst>
            <a:ext uri="{FF2B5EF4-FFF2-40B4-BE49-F238E27FC236}">
              <a16:creationId xmlns:a16="http://schemas.microsoft.com/office/drawing/2014/main" id="{ED6AD7B7-5FC6-4EA7-831E-7A7FE707D4B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84942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120</xdr:row>
      <xdr:rowOff>0</xdr:rowOff>
    </xdr:from>
    <xdr:to>
      <xdr:col>0</xdr:col>
      <xdr:colOff>152400</xdr:colOff>
      <xdr:row>120</xdr:row>
      <xdr:rowOff>133350</xdr:rowOff>
    </xdr:to>
    <xdr:pic>
      <xdr:nvPicPr>
        <xdr:cNvPr id="425" name="Picture 138">
          <a:extLst>
            <a:ext uri="{FF2B5EF4-FFF2-40B4-BE49-F238E27FC236}">
              <a16:creationId xmlns:a16="http://schemas.microsoft.com/office/drawing/2014/main" id="{97C2FDE2-C413-4CD9-93B7-6AF0B9EC7DD5}"/>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86562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121</xdr:row>
      <xdr:rowOff>0</xdr:rowOff>
    </xdr:from>
    <xdr:to>
      <xdr:col>0</xdr:col>
      <xdr:colOff>152400</xdr:colOff>
      <xdr:row>121</xdr:row>
      <xdr:rowOff>133350</xdr:rowOff>
    </xdr:to>
    <xdr:pic>
      <xdr:nvPicPr>
        <xdr:cNvPr id="426" name="Picture 137">
          <a:extLst>
            <a:ext uri="{FF2B5EF4-FFF2-40B4-BE49-F238E27FC236}">
              <a16:creationId xmlns:a16="http://schemas.microsoft.com/office/drawing/2014/main" id="{C4D7AC2A-FC19-4DF3-926A-209C70A2DFD8}"/>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88181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122</xdr:row>
      <xdr:rowOff>0</xdr:rowOff>
    </xdr:from>
    <xdr:to>
      <xdr:col>0</xdr:col>
      <xdr:colOff>152400</xdr:colOff>
      <xdr:row>122</xdr:row>
      <xdr:rowOff>133350</xdr:rowOff>
    </xdr:to>
    <xdr:pic>
      <xdr:nvPicPr>
        <xdr:cNvPr id="427" name="Picture 136">
          <a:extLst>
            <a:ext uri="{FF2B5EF4-FFF2-40B4-BE49-F238E27FC236}">
              <a16:creationId xmlns:a16="http://schemas.microsoft.com/office/drawing/2014/main" id="{4F0A81BC-4124-4E46-BC9D-D984D9BC8D7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89800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123</xdr:row>
      <xdr:rowOff>0</xdr:rowOff>
    </xdr:from>
    <xdr:to>
      <xdr:col>0</xdr:col>
      <xdr:colOff>152400</xdr:colOff>
      <xdr:row>123</xdr:row>
      <xdr:rowOff>133350</xdr:rowOff>
    </xdr:to>
    <xdr:pic>
      <xdr:nvPicPr>
        <xdr:cNvPr id="428" name="Picture 135">
          <a:extLst>
            <a:ext uri="{FF2B5EF4-FFF2-40B4-BE49-F238E27FC236}">
              <a16:creationId xmlns:a16="http://schemas.microsoft.com/office/drawing/2014/main" id="{8634554B-C209-4083-8E21-E5A55C8AD7B7}"/>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91419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116</xdr:row>
      <xdr:rowOff>0</xdr:rowOff>
    </xdr:from>
    <xdr:to>
      <xdr:col>0</xdr:col>
      <xdr:colOff>152400</xdr:colOff>
      <xdr:row>116</xdr:row>
      <xdr:rowOff>133350</xdr:rowOff>
    </xdr:to>
    <xdr:pic>
      <xdr:nvPicPr>
        <xdr:cNvPr id="429" name="Picture 134">
          <a:extLst>
            <a:ext uri="{FF2B5EF4-FFF2-40B4-BE49-F238E27FC236}">
              <a16:creationId xmlns:a16="http://schemas.microsoft.com/office/drawing/2014/main" id="{421ADCAD-9A31-4BF0-A1D1-E58E4667152E}"/>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93039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117</xdr:row>
      <xdr:rowOff>0</xdr:rowOff>
    </xdr:from>
    <xdr:to>
      <xdr:col>0</xdr:col>
      <xdr:colOff>152400</xdr:colOff>
      <xdr:row>117</xdr:row>
      <xdr:rowOff>133350</xdr:rowOff>
    </xdr:to>
    <xdr:pic>
      <xdr:nvPicPr>
        <xdr:cNvPr id="430" name="Picture 133">
          <a:extLst>
            <a:ext uri="{FF2B5EF4-FFF2-40B4-BE49-F238E27FC236}">
              <a16:creationId xmlns:a16="http://schemas.microsoft.com/office/drawing/2014/main" id="{EFF14F74-F472-4A21-812C-0A81EDD6537B}"/>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94658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118</xdr:row>
      <xdr:rowOff>0</xdr:rowOff>
    </xdr:from>
    <xdr:to>
      <xdr:col>0</xdr:col>
      <xdr:colOff>152400</xdr:colOff>
      <xdr:row>118</xdr:row>
      <xdr:rowOff>133350</xdr:rowOff>
    </xdr:to>
    <xdr:pic>
      <xdr:nvPicPr>
        <xdr:cNvPr id="431" name="Picture 132">
          <a:extLst>
            <a:ext uri="{FF2B5EF4-FFF2-40B4-BE49-F238E27FC236}">
              <a16:creationId xmlns:a16="http://schemas.microsoft.com/office/drawing/2014/main" id="{026D88D5-72F6-49C6-9F72-9D25CE31334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96277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113</xdr:row>
      <xdr:rowOff>0</xdr:rowOff>
    </xdr:from>
    <xdr:to>
      <xdr:col>0</xdr:col>
      <xdr:colOff>152400</xdr:colOff>
      <xdr:row>113</xdr:row>
      <xdr:rowOff>133350</xdr:rowOff>
    </xdr:to>
    <xdr:pic>
      <xdr:nvPicPr>
        <xdr:cNvPr id="432" name="Picture 131">
          <a:extLst>
            <a:ext uri="{FF2B5EF4-FFF2-40B4-BE49-F238E27FC236}">
              <a16:creationId xmlns:a16="http://schemas.microsoft.com/office/drawing/2014/main" id="{F8D34A37-84A0-4901-8DE9-9E3EB84545E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97896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114</xdr:row>
      <xdr:rowOff>0</xdr:rowOff>
    </xdr:from>
    <xdr:to>
      <xdr:col>0</xdr:col>
      <xdr:colOff>152400</xdr:colOff>
      <xdr:row>114</xdr:row>
      <xdr:rowOff>133350</xdr:rowOff>
    </xdr:to>
    <xdr:pic>
      <xdr:nvPicPr>
        <xdr:cNvPr id="434" name="Picture 129">
          <a:extLst>
            <a:ext uri="{FF2B5EF4-FFF2-40B4-BE49-F238E27FC236}">
              <a16:creationId xmlns:a16="http://schemas.microsoft.com/office/drawing/2014/main" id="{79B20B2D-5933-4EF0-AC29-D7FF44FF7E2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01135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115</xdr:row>
      <xdr:rowOff>0</xdr:rowOff>
    </xdr:from>
    <xdr:to>
      <xdr:col>0</xdr:col>
      <xdr:colOff>152400</xdr:colOff>
      <xdr:row>115</xdr:row>
      <xdr:rowOff>133350</xdr:rowOff>
    </xdr:to>
    <xdr:pic>
      <xdr:nvPicPr>
        <xdr:cNvPr id="435" name="Picture 128">
          <a:extLst>
            <a:ext uri="{FF2B5EF4-FFF2-40B4-BE49-F238E27FC236}">
              <a16:creationId xmlns:a16="http://schemas.microsoft.com/office/drawing/2014/main" id="{99107A3A-46A9-4494-90AD-B3BA1B2D8DC8}"/>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02754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108</xdr:row>
      <xdr:rowOff>0</xdr:rowOff>
    </xdr:from>
    <xdr:to>
      <xdr:col>0</xdr:col>
      <xdr:colOff>152400</xdr:colOff>
      <xdr:row>108</xdr:row>
      <xdr:rowOff>133350</xdr:rowOff>
    </xdr:to>
    <xdr:pic>
      <xdr:nvPicPr>
        <xdr:cNvPr id="436" name="Picture 127">
          <a:extLst>
            <a:ext uri="{FF2B5EF4-FFF2-40B4-BE49-F238E27FC236}">
              <a16:creationId xmlns:a16="http://schemas.microsoft.com/office/drawing/2014/main" id="{C4E90C94-146C-4339-B9E8-E1BF770AAD77}"/>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04373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109</xdr:row>
      <xdr:rowOff>0</xdr:rowOff>
    </xdr:from>
    <xdr:to>
      <xdr:col>0</xdr:col>
      <xdr:colOff>152400</xdr:colOff>
      <xdr:row>109</xdr:row>
      <xdr:rowOff>133350</xdr:rowOff>
    </xdr:to>
    <xdr:pic>
      <xdr:nvPicPr>
        <xdr:cNvPr id="437" name="Picture 126">
          <a:extLst>
            <a:ext uri="{FF2B5EF4-FFF2-40B4-BE49-F238E27FC236}">
              <a16:creationId xmlns:a16="http://schemas.microsoft.com/office/drawing/2014/main" id="{4AD6B657-1B50-4C59-A453-CCB42368B07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05993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110</xdr:row>
      <xdr:rowOff>0</xdr:rowOff>
    </xdr:from>
    <xdr:to>
      <xdr:col>0</xdr:col>
      <xdr:colOff>152400</xdr:colOff>
      <xdr:row>110</xdr:row>
      <xdr:rowOff>133350</xdr:rowOff>
    </xdr:to>
    <xdr:pic>
      <xdr:nvPicPr>
        <xdr:cNvPr id="439" name="Picture 124">
          <a:extLst>
            <a:ext uri="{FF2B5EF4-FFF2-40B4-BE49-F238E27FC236}">
              <a16:creationId xmlns:a16="http://schemas.microsoft.com/office/drawing/2014/main" id="{B32A5004-27C2-4007-A2C5-1CFDE07F5463}"/>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09231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111</xdr:row>
      <xdr:rowOff>0</xdr:rowOff>
    </xdr:from>
    <xdr:to>
      <xdr:col>0</xdr:col>
      <xdr:colOff>152400</xdr:colOff>
      <xdr:row>111</xdr:row>
      <xdr:rowOff>133350</xdr:rowOff>
    </xdr:to>
    <xdr:pic>
      <xdr:nvPicPr>
        <xdr:cNvPr id="440" name="Picture 123">
          <a:extLst>
            <a:ext uri="{FF2B5EF4-FFF2-40B4-BE49-F238E27FC236}">
              <a16:creationId xmlns:a16="http://schemas.microsoft.com/office/drawing/2014/main" id="{D3BA48A3-E0C3-42E4-8773-268D3D53F5DC}"/>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10850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112</xdr:row>
      <xdr:rowOff>0</xdr:rowOff>
    </xdr:from>
    <xdr:to>
      <xdr:col>0</xdr:col>
      <xdr:colOff>152400</xdr:colOff>
      <xdr:row>112</xdr:row>
      <xdr:rowOff>133350</xdr:rowOff>
    </xdr:to>
    <xdr:pic>
      <xdr:nvPicPr>
        <xdr:cNvPr id="441" name="Picture 122">
          <a:extLst>
            <a:ext uri="{FF2B5EF4-FFF2-40B4-BE49-F238E27FC236}">
              <a16:creationId xmlns:a16="http://schemas.microsoft.com/office/drawing/2014/main" id="{186333FC-3E3F-456B-8CF1-97B38A78DD8E}"/>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12470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94</xdr:row>
      <xdr:rowOff>0</xdr:rowOff>
    </xdr:from>
    <xdr:to>
      <xdr:col>0</xdr:col>
      <xdr:colOff>152400</xdr:colOff>
      <xdr:row>94</xdr:row>
      <xdr:rowOff>133350</xdr:rowOff>
    </xdr:to>
    <xdr:pic>
      <xdr:nvPicPr>
        <xdr:cNvPr id="442" name="Picture 121">
          <a:extLst>
            <a:ext uri="{FF2B5EF4-FFF2-40B4-BE49-F238E27FC236}">
              <a16:creationId xmlns:a16="http://schemas.microsoft.com/office/drawing/2014/main" id="{96EA4AB7-9BE6-478C-9990-68E8A7299993}"/>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14089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95</xdr:row>
      <xdr:rowOff>0</xdr:rowOff>
    </xdr:from>
    <xdr:to>
      <xdr:col>0</xdr:col>
      <xdr:colOff>152400</xdr:colOff>
      <xdr:row>95</xdr:row>
      <xdr:rowOff>133350</xdr:rowOff>
    </xdr:to>
    <xdr:pic>
      <xdr:nvPicPr>
        <xdr:cNvPr id="443" name="Picture 120">
          <a:extLst>
            <a:ext uri="{FF2B5EF4-FFF2-40B4-BE49-F238E27FC236}">
              <a16:creationId xmlns:a16="http://schemas.microsoft.com/office/drawing/2014/main" id="{6BC52672-ECF9-4F16-8C01-F6931EBAF033}"/>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15708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96</xdr:row>
      <xdr:rowOff>0</xdr:rowOff>
    </xdr:from>
    <xdr:to>
      <xdr:col>0</xdr:col>
      <xdr:colOff>152400</xdr:colOff>
      <xdr:row>96</xdr:row>
      <xdr:rowOff>133350</xdr:rowOff>
    </xdr:to>
    <xdr:pic>
      <xdr:nvPicPr>
        <xdr:cNvPr id="444" name="Picture 119">
          <a:extLst>
            <a:ext uri="{FF2B5EF4-FFF2-40B4-BE49-F238E27FC236}">
              <a16:creationId xmlns:a16="http://schemas.microsoft.com/office/drawing/2014/main" id="{E854EAB7-F652-40B4-A8BF-2F16227960E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17327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97</xdr:row>
      <xdr:rowOff>0</xdr:rowOff>
    </xdr:from>
    <xdr:to>
      <xdr:col>0</xdr:col>
      <xdr:colOff>152400</xdr:colOff>
      <xdr:row>97</xdr:row>
      <xdr:rowOff>133350</xdr:rowOff>
    </xdr:to>
    <xdr:pic>
      <xdr:nvPicPr>
        <xdr:cNvPr id="445" name="Picture 118">
          <a:extLst>
            <a:ext uri="{FF2B5EF4-FFF2-40B4-BE49-F238E27FC236}">
              <a16:creationId xmlns:a16="http://schemas.microsoft.com/office/drawing/2014/main" id="{7B11EFCE-0B4C-460E-8AFE-3AFE7BAFFBF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18947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98</xdr:row>
      <xdr:rowOff>0</xdr:rowOff>
    </xdr:from>
    <xdr:to>
      <xdr:col>0</xdr:col>
      <xdr:colOff>152400</xdr:colOff>
      <xdr:row>98</xdr:row>
      <xdr:rowOff>133350</xdr:rowOff>
    </xdr:to>
    <xdr:pic>
      <xdr:nvPicPr>
        <xdr:cNvPr id="446" name="Picture 117">
          <a:extLst>
            <a:ext uri="{FF2B5EF4-FFF2-40B4-BE49-F238E27FC236}">
              <a16:creationId xmlns:a16="http://schemas.microsoft.com/office/drawing/2014/main" id="{D84F30D4-856E-453A-AD9C-96BF26B17413}"/>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20566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99</xdr:row>
      <xdr:rowOff>0</xdr:rowOff>
    </xdr:from>
    <xdr:to>
      <xdr:col>0</xdr:col>
      <xdr:colOff>152400</xdr:colOff>
      <xdr:row>99</xdr:row>
      <xdr:rowOff>133350</xdr:rowOff>
    </xdr:to>
    <xdr:pic>
      <xdr:nvPicPr>
        <xdr:cNvPr id="447" name="Picture 116">
          <a:extLst>
            <a:ext uri="{FF2B5EF4-FFF2-40B4-BE49-F238E27FC236}">
              <a16:creationId xmlns:a16="http://schemas.microsoft.com/office/drawing/2014/main" id="{A8B3C958-0130-44DE-BDBD-D7B12DFACC37}"/>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22185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100</xdr:row>
      <xdr:rowOff>0</xdr:rowOff>
    </xdr:from>
    <xdr:to>
      <xdr:col>0</xdr:col>
      <xdr:colOff>152400</xdr:colOff>
      <xdr:row>100</xdr:row>
      <xdr:rowOff>133350</xdr:rowOff>
    </xdr:to>
    <xdr:pic>
      <xdr:nvPicPr>
        <xdr:cNvPr id="448" name="Picture 115">
          <a:extLst>
            <a:ext uri="{FF2B5EF4-FFF2-40B4-BE49-F238E27FC236}">
              <a16:creationId xmlns:a16="http://schemas.microsoft.com/office/drawing/2014/main" id="{B0AFDA98-0136-4A91-8A1B-DF7F7995AF8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23804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101</xdr:row>
      <xdr:rowOff>0</xdr:rowOff>
    </xdr:from>
    <xdr:to>
      <xdr:col>0</xdr:col>
      <xdr:colOff>152400</xdr:colOff>
      <xdr:row>101</xdr:row>
      <xdr:rowOff>133350</xdr:rowOff>
    </xdr:to>
    <xdr:pic>
      <xdr:nvPicPr>
        <xdr:cNvPr id="449" name="Picture 114">
          <a:extLst>
            <a:ext uri="{FF2B5EF4-FFF2-40B4-BE49-F238E27FC236}">
              <a16:creationId xmlns:a16="http://schemas.microsoft.com/office/drawing/2014/main" id="{FCBF0CAD-7DA8-412F-8FC5-5566C716BFB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25424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102</xdr:row>
      <xdr:rowOff>0</xdr:rowOff>
    </xdr:from>
    <xdr:to>
      <xdr:col>0</xdr:col>
      <xdr:colOff>152400</xdr:colOff>
      <xdr:row>102</xdr:row>
      <xdr:rowOff>133350</xdr:rowOff>
    </xdr:to>
    <xdr:pic>
      <xdr:nvPicPr>
        <xdr:cNvPr id="450" name="Picture 113">
          <a:extLst>
            <a:ext uri="{FF2B5EF4-FFF2-40B4-BE49-F238E27FC236}">
              <a16:creationId xmlns:a16="http://schemas.microsoft.com/office/drawing/2014/main" id="{990AD67C-A4F1-440D-941C-5D28924ABAA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27043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103</xdr:row>
      <xdr:rowOff>0</xdr:rowOff>
    </xdr:from>
    <xdr:to>
      <xdr:col>0</xdr:col>
      <xdr:colOff>152400</xdr:colOff>
      <xdr:row>103</xdr:row>
      <xdr:rowOff>133350</xdr:rowOff>
    </xdr:to>
    <xdr:pic>
      <xdr:nvPicPr>
        <xdr:cNvPr id="451" name="Picture 112">
          <a:extLst>
            <a:ext uri="{FF2B5EF4-FFF2-40B4-BE49-F238E27FC236}">
              <a16:creationId xmlns:a16="http://schemas.microsoft.com/office/drawing/2014/main" id="{8876C8F0-EF53-4029-B80D-5B0E5847940A}"/>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28662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104</xdr:row>
      <xdr:rowOff>0</xdr:rowOff>
    </xdr:from>
    <xdr:to>
      <xdr:col>0</xdr:col>
      <xdr:colOff>152400</xdr:colOff>
      <xdr:row>104</xdr:row>
      <xdr:rowOff>133350</xdr:rowOff>
    </xdr:to>
    <xdr:pic>
      <xdr:nvPicPr>
        <xdr:cNvPr id="454" name="Picture 109">
          <a:extLst>
            <a:ext uri="{FF2B5EF4-FFF2-40B4-BE49-F238E27FC236}">
              <a16:creationId xmlns:a16="http://schemas.microsoft.com/office/drawing/2014/main" id="{0A2B3E72-C74C-4F96-82C8-D0A04710898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33520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105</xdr:row>
      <xdr:rowOff>0</xdr:rowOff>
    </xdr:from>
    <xdr:to>
      <xdr:col>0</xdr:col>
      <xdr:colOff>152400</xdr:colOff>
      <xdr:row>105</xdr:row>
      <xdr:rowOff>133350</xdr:rowOff>
    </xdr:to>
    <xdr:pic>
      <xdr:nvPicPr>
        <xdr:cNvPr id="455" name="Picture 108">
          <a:extLst>
            <a:ext uri="{FF2B5EF4-FFF2-40B4-BE49-F238E27FC236}">
              <a16:creationId xmlns:a16="http://schemas.microsoft.com/office/drawing/2014/main" id="{6FB97A2C-A2AF-4E76-AC09-FD46BD29B7C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35139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106</xdr:row>
      <xdr:rowOff>0</xdr:rowOff>
    </xdr:from>
    <xdr:to>
      <xdr:col>0</xdr:col>
      <xdr:colOff>152400</xdr:colOff>
      <xdr:row>106</xdr:row>
      <xdr:rowOff>133350</xdr:rowOff>
    </xdr:to>
    <xdr:pic>
      <xdr:nvPicPr>
        <xdr:cNvPr id="456" name="Picture 107">
          <a:extLst>
            <a:ext uri="{FF2B5EF4-FFF2-40B4-BE49-F238E27FC236}">
              <a16:creationId xmlns:a16="http://schemas.microsoft.com/office/drawing/2014/main" id="{B81C3E99-DE00-42C3-834F-2E2FD1F6FBA8}"/>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36758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107</xdr:row>
      <xdr:rowOff>0</xdr:rowOff>
    </xdr:from>
    <xdr:to>
      <xdr:col>0</xdr:col>
      <xdr:colOff>152400</xdr:colOff>
      <xdr:row>107</xdr:row>
      <xdr:rowOff>133350</xdr:rowOff>
    </xdr:to>
    <xdr:pic>
      <xdr:nvPicPr>
        <xdr:cNvPr id="457" name="Picture 106">
          <a:extLst>
            <a:ext uri="{FF2B5EF4-FFF2-40B4-BE49-F238E27FC236}">
              <a16:creationId xmlns:a16="http://schemas.microsoft.com/office/drawing/2014/main" id="{54FD25BD-CE89-4F9A-AEDA-F4AE71CE045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38378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80</xdr:row>
      <xdr:rowOff>0</xdr:rowOff>
    </xdr:from>
    <xdr:to>
      <xdr:col>0</xdr:col>
      <xdr:colOff>152400</xdr:colOff>
      <xdr:row>80</xdr:row>
      <xdr:rowOff>133350</xdr:rowOff>
    </xdr:to>
    <xdr:pic>
      <xdr:nvPicPr>
        <xdr:cNvPr id="458" name="Picture 105">
          <a:extLst>
            <a:ext uri="{FF2B5EF4-FFF2-40B4-BE49-F238E27FC236}">
              <a16:creationId xmlns:a16="http://schemas.microsoft.com/office/drawing/2014/main" id="{7DDAE950-CD23-401D-961A-95BAFD39E05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39997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81</xdr:row>
      <xdr:rowOff>0</xdr:rowOff>
    </xdr:from>
    <xdr:to>
      <xdr:col>0</xdr:col>
      <xdr:colOff>152400</xdr:colOff>
      <xdr:row>81</xdr:row>
      <xdr:rowOff>133350</xdr:rowOff>
    </xdr:to>
    <xdr:pic>
      <xdr:nvPicPr>
        <xdr:cNvPr id="459" name="Picture 104">
          <a:extLst>
            <a:ext uri="{FF2B5EF4-FFF2-40B4-BE49-F238E27FC236}">
              <a16:creationId xmlns:a16="http://schemas.microsoft.com/office/drawing/2014/main" id="{BFC0A5BD-80BC-4093-B139-DF7639DADE8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41616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82</xdr:row>
      <xdr:rowOff>0</xdr:rowOff>
    </xdr:from>
    <xdr:to>
      <xdr:col>0</xdr:col>
      <xdr:colOff>152400</xdr:colOff>
      <xdr:row>82</xdr:row>
      <xdr:rowOff>133350</xdr:rowOff>
    </xdr:to>
    <xdr:pic>
      <xdr:nvPicPr>
        <xdr:cNvPr id="460" name="Picture 103">
          <a:extLst>
            <a:ext uri="{FF2B5EF4-FFF2-40B4-BE49-F238E27FC236}">
              <a16:creationId xmlns:a16="http://schemas.microsoft.com/office/drawing/2014/main" id="{7EE2A819-4493-4AFB-8497-D82AED0540A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43235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83</xdr:row>
      <xdr:rowOff>0</xdr:rowOff>
    </xdr:from>
    <xdr:to>
      <xdr:col>0</xdr:col>
      <xdr:colOff>152400</xdr:colOff>
      <xdr:row>83</xdr:row>
      <xdr:rowOff>133350</xdr:rowOff>
    </xdr:to>
    <xdr:pic>
      <xdr:nvPicPr>
        <xdr:cNvPr id="461" name="Picture 102">
          <a:extLst>
            <a:ext uri="{FF2B5EF4-FFF2-40B4-BE49-F238E27FC236}">
              <a16:creationId xmlns:a16="http://schemas.microsoft.com/office/drawing/2014/main" id="{C8BA5EBD-B4C6-46C9-B61D-35977B1181E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44855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84</xdr:row>
      <xdr:rowOff>0</xdr:rowOff>
    </xdr:from>
    <xdr:to>
      <xdr:col>0</xdr:col>
      <xdr:colOff>152400</xdr:colOff>
      <xdr:row>84</xdr:row>
      <xdr:rowOff>133350</xdr:rowOff>
    </xdr:to>
    <xdr:pic>
      <xdr:nvPicPr>
        <xdr:cNvPr id="465" name="Picture 98">
          <a:extLst>
            <a:ext uri="{FF2B5EF4-FFF2-40B4-BE49-F238E27FC236}">
              <a16:creationId xmlns:a16="http://schemas.microsoft.com/office/drawing/2014/main" id="{1309F620-EE15-4B5B-9B80-679EE135C5DA}"/>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51332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85</xdr:row>
      <xdr:rowOff>0</xdr:rowOff>
    </xdr:from>
    <xdr:to>
      <xdr:col>0</xdr:col>
      <xdr:colOff>152400</xdr:colOff>
      <xdr:row>85</xdr:row>
      <xdr:rowOff>133350</xdr:rowOff>
    </xdr:to>
    <xdr:pic>
      <xdr:nvPicPr>
        <xdr:cNvPr id="466" name="Picture 97">
          <a:extLst>
            <a:ext uri="{FF2B5EF4-FFF2-40B4-BE49-F238E27FC236}">
              <a16:creationId xmlns:a16="http://schemas.microsoft.com/office/drawing/2014/main" id="{3CD75EE7-BB6F-4CBE-B699-4A51AEDE790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52951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86</xdr:row>
      <xdr:rowOff>0</xdr:rowOff>
    </xdr:from>
    <xdr:to>
      <xdr:col>0</xdr:col>
      <xdr:colOff>152400</xdr:colOff>
      <xdr:row>86</xdr:row>
      <xdr:rowOff>133350</xdr:rowOff>
    </xdr:to>
    <xdr:pic>
      <xdr:nvPicPr>
        <xdr:cNvPr id="467" name="Picture 96">
          <a:extLst>
            <a:ext uri="{FF2B5EF4-FFF2-40B4-BE49-F238E27FC236}">
              <a16:creationId xmlns:a16="http://schemas.microsoft.com/office/drawing/2014/main" id="{A6D819AF-369A-44C7-8A05-9828259E225C}"/>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54570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87</xdr:row>
      <xdr:rowOff>0</xdr:rowOff>
    </xdr:from>
    <xdr:to>
      <xdr:col>0</xdr:col>
      <xdr:colOff>152400</xdr:colOff>
      <xdr:row>87</xdr:row>
      <xdr:rowOff>133350</xdr:rowOff>
    </xdr:to>
    <xdr:pic>
      <xdr:nvPicPr>
        <xdr:cNvPr id="468" name="Picture 95">
          <a:extLst>
            <a:ext uri="{FF2B5EF4-FFF2-40B4-BE49-F238E27FC236}">
              <a16:creationId xmlns:a16="http://schemas.microsoft.com/office/drawing/2014/main" id="{790407A8-0937-4BE6-BE8D-604F1AF8542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56189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88</xdr:row>
      <xdr:rowOff>0</xdr:rowOff>
    </xdr:from>
    <xdr:to>
      <xdr:col>0</xdr:col>
      <xdr:colOff>152400</xdr:colOff>
      <xdr:row>88</xdr:row>
      <xdr:rowOff>133350</xdr:rowOff>
    </xdr:to>
    <xdr:pic>
      <xdr:nvPicPr>
        <xdr:cNvPr id="469" name="Picture 94">
          <a:extLst>
            <a:ext uri="{FF2B5EF4-FFF2-40B4-BE49-F238E27FC236}">
              <a16:creationId xmlns:a16="http://schemas.microsoft.com/office/drawing/2014/main" id="{96361CC0-AA96-49DB-B974-9CBB1E88AE2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57809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89</xdr:row>
      <xdr:rowOff>0</xdr:rowOff>
    </xdr:from>
    <xdr:to>
      <xdr:col>0</xdr:col>
      <xdr:colOff>152400</xdr:colOff>
      <xdr:row>89</xdr:row>
      <xdr:rowOff>133350</xdr:rowOff>
    </xdr:to>
    <xdr:pic>
      <xdr:nvPicPr>
        <xdr:cNvPr id="470" name="Picture 93">
          <a:extLst>
            <a:ext uri="{FF2B5EF4-FFF2-40B4-BE49-F238E27FC236}">
              <a16:creationId xmlns:a16="http://schemas.microsoft.com/office/drawing/2014/main" id="{4C569985-4C08-465F-9F53-1F2A22140233}"/>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59428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90</xdr:row>
      <xdr:rowOff>0</xdr:rowOff>
    </xdr:from>
    <xdr:to>
      <xdr:col>0</xdr:col>
      <xdr:colOff>152400</xdr:colOff>
      <xdr:row>90</xdr:row>
      <xdr:rowOff>133350</xdr:rowOff>
    </xdr:to>
    <xdr:pic>
      <xdr:nvPicPr>
        <xdr:cNvPr id="471" name="Picture 92">
          <a:extLst>
            <a:ext uri="{FF2B5EF4-FFF2-40B4-BE49-F238E27FC236}">
              <a16:creationId xmlns:a16="http://schemas.microsoft.com/office/drawing/2014/main" id="{D36E1F13-346B-46C2-B206-76485BEB43DE}"/>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61047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91</xdr:row>
      <xdr:rowOff>0</xdr:rowOff>
    </xdr:from>
    <xdr:to>
      <xdr:col>0</xdr:col>
      <xdr:colOff>152400</xdr:colOff>
      <xdr:row>91</xdr:row>
      <xdr:rowOff>133350</xdr:rowOff>
    </xdr:to>
    <xdr:pic>
      <xdr:nvPicPr>
        <xdr:cNvPr id="472" name="Picture 91">
          <a:extLst>
            <a:ext uri="{FF2B5EF4-FFF2-40B4-BE49-F238E27FC236}">
              <a16:creationId xmlns:a16="http://schemas.microsoft.com/office/drawing/2014/main" id="{4CDF3CC5-7BB6-46D6-BE24-FCD9A8EB70D7}"/>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62666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92</xdr:row>
      <xdr:rowOff>0</xdr:rowOff>
    </xdr:from>
    <xdr:to>
      <xdr:col>0</xdr:col>
      <xdr:colOff>152400</xdr:colOff>
      <xdr:row>92</xdr:row>
      <xdr:rowOff>133350</xdr:rowOff>
    </xdr:to>
    <xdr:pic>
      <xdr:nvPicPr>
        <xdr:cNvPr id="473" name="Picture 90">
          <a:extLst>
            <a:ext uri="{FF2B5EF4-FFF2-40B4-BE49-F238E27FC236}">
              <a16:creationId xmlns:a16="http://schemas.microsoft.com/office/drawing/2014/main" id="{89990296-998E-41F5-BBFB-5A5D30B013FC}"/>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64286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93</xdr:row>
      <xdr:rowOff>0</xdr:rowOff>
    </xdr:from>
    <xdr:to>
      <xdr:col>0</xdr:col>
      <xdr:colOff>152400</xdr:colOff>
      <xdr:row>93</xdr:row>
      <xdr:rowOff>133350</xdr:rowOff>
    </xdr:to>
    <xdr:pic>
      <xdr:nvPicPr>
        <xdr:cNvPr id="474" name="Picture 89">
          <a:extLst>
            <a:ext uri="{FF2B5EF4-FFF2-40B4-BE49-F238E27FC236}">
              <a16:creationId xmlns:a16="http://schemas.microsoft.com/office/drawing/2014/main" id="{73E9A2BB-A902-498C-8E68-3DD7B132E79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65905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xdr:row>
      <xdr:rowOff>0</xdr:rowOff>
    </xdr:from>
    <xdr:to>
      <xdr:col>0</xdr:col>
      <xdr:colOff>152400</xdr:colOff>
      <xdr:row>1</xdr:row>
      <xdr:rowOff>133350</xdr:rowOff>
    </xdr:to>
    <xdr:pic>
      <xdr:nvPicPr>
        <xdr:cNvPr id="475" name="Picture 88">
          <a:extLst>
            <a:ext uri="{FF2B5EF4-FFF2-40B4-BE49-F238E27FC236}">
              <a16:creationId xmlns:a16="http://schemas.microsoft.com/office/drawing/2014/main" id="{F6123041-2203-44B8-8050-89A201D53673}"/>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67524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xdr:row>
      <xdr:rowOff>0</xdr:rowOff>
    </xdr:from>
    <xdr:to>
      <xdr:col>0</xdr:col>
      <xdr:colOff>152400</xdr:colOff>
      <xdr:row>2</xdr:row>
      <xdr:rowOff>133350</xdr:rowOff>
    </xdr:to>
    <xdr:pic>
      <xdr:nvPicPr>
        <xdr:cNvPr id="476" name="Picture 87">
          <a:extLst>
            <a:ext uri="{FF2B5EF4-FFF2-40B4-BE49-F238E27FC236}">
              <a16:creationId xmlns:a16="http://schemas.microsoft.com/office/drawing/2014/main" id="{BE82AE8C-9EB1-4957-A524-CEE41D661CE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69143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xdr:row>
      <xdr:rowOff>0</xdr:rowOff>
    </xdr:from>
    <xdr:to>
      <xdr:col>0</xdr:col>
      <xdr:colOff>152400</xdr:colOff>
      <xdr:row>3</xdr:row>
      <xdr:rowOff>133350</xdr:rowOff>
    </xdr:to>
    <xdr:pic>
      <xdr:nvPicPr>
        <xdr:cNvPr id="477" name="Picture 86">
          <a:extLst>
            <a:ext uri="{FF2B5EF4-FFF2-40B4-BE49-F238E27FC236}">
              <a16:creationId xmlns:a16="http://schemas.microsoft.com/office/drawing/2014/main" id="{13005196-82C1-4520-AAB6-E1AE4E8026E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70763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xdr:row>
      <xdr:rowOff>0</xdr:rowOff>
    </xdr:from>
    <xdr:to>
      <xdr:col>0</xdr:col>
      <xdr:colOff>152400</xdr:colOff>
      <xdr:row>4</xdr:row>
      <xdr:rowOff>133350</xdr:rowOff>
    </xdr:to>
    <xdr:pic>
      <xdr:nvPicPr>
        <xdr:cNvPr id="478" name="Picture 85">
          <a:extLst>
            <a:ext uri="{FF2B5EF4-FFF2-40B4-BE49-F238E27FC236}">
              <a16:creationId xmlns:a16="http://schemas.microsoft.com/office/drawing/2014/main" id="{3A052CFB-1AFF-4874-8420-AAB2BFF8B68A}"/>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72382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xdr:row>
      <xdr:rowOff>0</xdr:rowOff>
    </xdr:from>
    <xdr:to>
      <xdr:col>0</xdr:col>
      <xdr:colOff>152400</xdr:colOff>
      <xdr:row>5</xdr:row>
      <xdr:rowOff>133350</xdr:rowOff>
    </xdr:to>
    <xdr:pic>
      <xdr:nvPicPr>
        <xdr:cNvPr id="479" name="Picture 84">
          <a:extLst>
            <a:ext uri="{FF2B5EF4-FFF2-40B4-BE49-F238E27FC236}">
              <a16:creationId xmlns:a16="http://schemas.microsoft.com/office/drawing/2014/main" id="{32B105C5-2CFA-48CC-935C-BAD5A460F65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74001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xdr:row>
      <xdr:rowOff>0</xdr:rowOff>
    </xdr:from>
    <xdr:to>
      <xdr:col>0</xdr:col>
      <xdr:colOff>152400</xdr:colOff>
      <xdr:row>6</xdr:row>
      <xdr:rowOff>133350</xdr:rowOff>
    </xdr:to>
    <xdr:pic>
      <xdr:nvPicPr>
        <xdr:cNvPr id="480" name="Picture 83">
          <a:extLst>
            <a:ext uri="{FF2B5EF4-FFF2-40B4-BE49-F238E27FC236}">
              <a16:creationId xmlns:a16="http://schemas.microsoft.com/office/drawing/2014/main" id="{67AA9CA7-2C40-42F7-B327-B4865CF5C738}"/>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75620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xdr:row>
      <xdr:rowOff>0</xdr:rowOff>
    </xdr:from>
    <xdr:to>
      <xdr:col>0</xdr:col>
      <xdr:colOff>152400</xdr:colOff>
      <xdr:row>7</xdr:row>
      <xdr:rowOff>133350</xdr:rowOff>
    </xdr:to>
    <xdr:pic>
      <xdr:nvPicPr>
        <xdr:cNvPr id="481" name="Picture 82">
          <a:extLst>
            <a:ext uri="{FF2B5EF4-FFF2-40B4-BE49-F238E27FC236}">
              <a16:creationId xmlns:a16="http://schemas.microsoft.com/office/drawing/2014/main" id="{2D1B59D9-6CAF-4EFB-94E6-CE1211F4201E}"/>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77240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8</xdr:row>
      <xdr:rowOff>0</xdr:rowOff>
    </xdr:from>
    <xdr:to>
      <xdr:col>0</xdr:col>
      <xdr:colOff>152400</xdr:colOff>
      <xdr:row>8</xdr:row>
      <xdr:rowOff>133350</xdr:rowOff>
    </xdr:to>
    <xdr:pic>
      <xdr:nvPicPr>
        <xdr:cNvPr id="482" name="Picture 81">
          <a:extLst>
            <a:ext uri="{FF2B5EF4-FFF2-40B4-BE49-F238E27FC236}">
              <a16:creationId xmlns:a16="http://schemas.microsoft.com/office/drawing/2014/main" id="{89934D22-D49F-454A-AA81-2FF8E4D74C6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78859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9</xdr:row>
      <xdr:rowOff>0</xdr:rowOff>
    </xdr:from>
    <xdr:to>
      <xdr:col>0</xdr:col>
      <xdr:colOff>152400</xdr:colOff>
      <xdr:row>9</xdr:row>
      <xdr:rowOff>133350</xdr:rowOff>
    </xdr:to>
    <xdr:pic>
      <xdr:nvPicPr>
        <xdr:cNvPr id="483" name="Picture 80">
          <a:extLst>
            <a:ext uri="{FF2B5EF4-FFF2-40B4-BE49-F238E27FC236}">
              <a16:creationId xmlns:a16="http://schemas.microsoft.com/office/drawing/2014/main" id="{ADDB2080-31A5-4510-8568-D22907D35E0A}"/>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80478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10</xdr:row>
      <xdr:rowOff>0</xdr:rowOff>
    </xdr:from>
    <xdr:to>
      <xdr:col>0</xdr:col>
      <xdr:colOff>152400</xdr:colOff>
      <xdr:row>10</xdr:row>
      <xdr:rowOff>133350</xdr:rowOff>
    </xdr:to>
    <xdr:pic>
      <xdr:nvPicPr>
        <xdr:cNvPr id="484" name="Picture 79">
          <a:extLst>
            <a:ext uri="{FF2B5EF4-FFF2-40B4-BE49-F238E27FC236}">
              <a16:creationId xmlns:a16="http://schemas.microsoft.com/office/drawing/2014/main" id="{D30B05A8-282A-433A-99D5-6D690ADFA6C3}"/>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82097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11</xdr:row>
      <xdr:rowOff>0</xdr:rowOff>
    </xdr:from>
    <xdr:to>
      <xdr:col>0</xdr:col>
      <xdr:colOff>152400</xdr:colOff>
      <xdr:row>11</xdr:row>
      <xdr:rowOff>133350</xdr:rowOff>
    </xdr:to>
    <xdr:pic>
      <xdr:nvPicPr>
        <xdr:cNvPr id="485" name="Picture 78">
          <a:extLst>
            <a:ext uri="{FF2B5EF4-FFF2-40B4-BE49-F238E27FC236}">
              <a16:creationId xmlns:a16="http://schemas.microsoft.com/office/drawing/2014/main" id="{75211497-C37D-4492-B2A3-5E24C8A382C5}"/>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83717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12</xdr:row>
      <xdr:rowOff>0</xdr:rowOff>
    </xdr:from>
    <xdr:to>
      <xdr:col>0</xdr:col>
      <xdr:colOff>152400</xdr:colOff>
      <xdr:row>12</xdr:row>
      <xdr:rowOff>133350</xdr:rowOff>
    </xdr:to>
    <xdr:pic>
      <xdr:nvPicPr>
        <xdr:cNvPr id="486" name="Picture 77">
          <a:extLst>
            <a:ext uri="{FF2B5EF4-FFF2-40B4-BE49-F238E27FC236}">
              <a16:creationId xmlns:a16="http://schemas.microsoft.com/office/drawing/2014/main" id="{7A8DA834-055A-4DF2-AA02-14F382E0CAD8}"/>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85336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13</xdr:row>
      <xdr:rowOff>0</xdr:rowOff>
    </xdr:from>
    <xdr:to>
      <xdr:col>0</xdr:col>
      <xdr:colOff>152400</xdr:colOff>
      <xdr:row>13</xdr:row>
      <xdr:rowOff>133350</xdr:rowOff>
    </xdr:to>
    <xdr:pic>
      <xdr:nvPicPr>
        <xdr:cNvPr id="487" name="Picture 76">
          <a:extLst>
            <a:ext uri="{FF2B5EF4-FFF2-40B4-BE49-F238E27FC236}">
              <a16:creationId xmlns:a16="http://schemas.microsoft.com/office/drawing/2014/main" id="{471AB71D-9DBF-4970-A64D-0028B7195AB5}"/>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86955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14</xdr:row>
      <xdr:rowOff>0</xdr:rowOff>
    </xdr:from>
    <xdr:to>
      <xdr:col>0</xdr:col>
      <xdr:colOff>152400</xdr:colOff>
      <xdr:row>14</xdr:row>
      <xdr:rowOff>133350</xdr:rowOff>
    </xdr:to>
    <xdr:pic>
      <xdr:nvPicPr>
        <xdr:cNvPr id="488" name="Picture 75">
          <a:extLst>
            <a:ext uri="{FF2B5EF4-FFF2-40B4-BE49-F238E27FC236}">
              <a16:creationId xmlns:a16="http://schemas.microsoft.com/office/drawing/2014/main" id="{45F78F3C-4DA0-4231-9C48-9DE1A2C7470A}"/>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88574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15</xdr:row>
      <xdr:rowOff>0</xdr:rowOff>
    </xdr:from>
    <xdr:to>
      <xdr:col>0</xdr:col>
      <xdr:colOff>152400</xdr:colOff>
      <xdr:row>15</xdr:row>
      <xdr:rowOff>133350</xdr:rowOff>
    </xdr:to>
    <xdr:pic>
      <xdr:nvPicPr>
        <xdr:cNvPr id="489" name="Picture 74">
          <a:extLst>
            <a:ext uri="{FF2B5EF4-FFF2-40B4-BE49-F238E27FC236}">
              <a16:creationId xmlns:a16="http://schemas.microsoft.com/office/drawing/2014/main" id="{0A629102-1286-44E6-87E3-97E316C90AD8}"/>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90194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16</xdr:row>
      <xdr:rowOff>0</xdr:rowOff>
    </xdr:from>
    <xdr:to>
      <xdr:col>0</xdr:col>
      <xdr:colOff>152400</xdr:colOff>
      <xdr:row>16</xdr:row>
      <xdr:rowOff>133350</xdr:rowOff>
    </xdr:to>
    <xdr:pic>
      <xdr:nvPicPr>
        <xdr:cNvPr id="490" name="Picture 73">
          <a:extLst>
            <a:ext uri="{FF2B5EF4-FFF2-40B4-BE49-F238E27FC236}">
              <a16:creationId xmlns:a16="http://schemas.microsoft.com/office/drawing/2014/main" id="{81FC1272-2926-4E10-AB2F-C51A732BD4A7}"/>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91813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17</xdr:row>
      <xdr:rowOff>0</xdr:rowOff>
    </xdr:from>
    <xdr:to>
      <xdr:col>0</xdr:col>
      <xdr:colOff>152400</xdr:colOff>
      <xdr:row>17</xdr:row>
      <xdr:rowOff>133350</xdr:rowOff>
    </xdr:to>
    <xdr:pic>
      <xdr:nvPicPr>
        <xdr:cNvPr id="491" name="Picture 72">
          <a:extLst>
            <a:ext uri="{FF2B5EF4-FFF2-40B4-BE49-F238E27FC236}">
              <a16:creationId xmlns:a16="http://schemas.microsoft.com/office/drawing/2014/main" id="{D1D1F825-2051-488C-B5F5-1762FBE07E7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93432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18</xdr:row>
      <xdr:rowOff>0</xdr:rowOff>
    </xdr:from>
    <xdr:to>
      <xdr:col>0</xdr:col>
      <xdr:colOff>152400</xdr:colOff>
      <xdr:row>18</xdr:row>
      <xdr:rowOff>133350</xdr:rowOff>
    </xdr:to>
    <xdr:pic>
      <xdr:nvPicPr>
        <xdr:cNvPr id="492" name="Picture 71">
          <a:extLst>
            <a:ext uri="{FF2B5EF4-FFF2-40B4-BE49-F238E27FC236}">
              <a16:creationId xmlns:a16="http://schemas.microsoft.com/office/drawing/2014/main" id="{29FC30BD-F8AD-436A-8228-AE84F748247A}"/>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95051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19</xdr:row>
      <xdr:rowOff>0</xdr:rowOff>
    </xdr:from>
    <xdr:to>
      <xdr:col>0</xdr:col>
      <xdr:colOff>152400</xdr:colOff>
      <xdr:row>19</xdr:row>
      <xdr:rowOff>133350</xdr:rowOff>
    </xdr:to>
    <xdr:pic>
      <xdr:nvPicPr>
        <xdr:cNvPr id="493" name="Picture 70">
          <a:extLst>
            <a:ext uri="{FF2B5EF4-FFF2-40B4-BE49-F238E27FC236}">
              <a16:creationId xmlns:a16="http://schemas.microsoft.com/office/drawing/2014/main" id="{B8A63204-DF46-40B1-8574-3FF1C0BD36F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96671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20</xdr:row>
      <xdr:rowOff>0</xdr:rowOff>
    </xdr:from>
    <xdr:to>
      <xdr:col>0</xdr:col>
      <xdr:colOff>152400</xdr:colOff>
      <xdr:row>20</xdr:row>
      <xdr:rowOff>133350</xdr:rowOff>
    </xdr:to>
    <xdr:pic>
      <xdr:nvPicPr>
        <xdr:cNvPr id="494" name="Picture 69">
          <a:extLst>
            <a:ext uri="{FF2B5EF4-FFF2-40B4-BE49-F238E27FC236}">
              <a16:creationId xmlns:a16="http://schemas.microsoft.com/office/drawing/2014/main" id="{811EB062-14B9-4305-ABD5-C77BDCAA4B3B}"/>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98290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21</xdr:row>
      <xdr:rowOff>0</xdr:rowOff>
    </xdr:from>
    <xdr:to>
      <xdr:col>0</xdr:col>
      <xdr:colOff>152400</xdr:colOff>
      <xdr:row>21</xdr:row>
      <xdr:rowOff>133350</xdr:rowOff>
    </xdr:to>
    <xdr:pic>
      <xdr:nvPicPr>
        <xdr:cNvPr id="495" name="Picture 68">
          <a:extLst>
            <a:ext uri="{FF2B5EF4-FFF2-40B4-BE49-F238E27FC236}">
              <a16:creationId xmlns:a16="http://schemas.microsoft.com/office/drawing/2014/main" id="{0E72ACD4-CBD5-4ED6-9909-3837B9D717F8}"/>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99909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22</xdr:row>
      <xdr:rowOff>0</xdr:rowOff>
    </xdr:from>
    <xdr:to>
      <xdr:col>0</xdr:col>
      <xdr:colOff>152400</xdr:colOff>
      <xdr:row>22</xdr:row>
      <xdr:rowOff>133350</xdr:rowOff>
    </xdr:to>
    <xdr:pic>
      <xdr:nvPicPr>
        <xdr:cNvPr id="496" name="Picture 67">
          <a:extLst>
            <a:ext uri="{FF2B5EF4-FFF2-40B4-BE49-F238E27FC236}">
              <a16:creationId xmlns:a16="http://schemas.microsoft.com/office/drawing/2014/main" id="{8A59ADC5-9D21-42AB-A652-E414FC0C8E4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01528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23</xdr:row>
      <xdr:rowOff>0</xdr:rowOff>
    </xdr:from>
    <xdr:to>
      <xdr:col>0</xdr:col>
      <xdr:colOff>152400</xdr:colOff>
      <xdr:row>23</xdr:row>
      <xdr:rowOff>133350</xdr:rowOff>
    </xdr:to>
    <xdr:pic>
      <xdr:nvPicPr>
        <xdr:cNvPr id="497" name="Picture 66">
          <a:extLst>
            <a:ext uri="{FF2B5EF4-FFF2-40B4-BE49-F238E27FC236}">
              <a16:creationId xmlns:a16="http://schemas.microsoft.com/office/drawing/2014/main" id="{1F9DEBF9-1F5B-4EED-AB76-81F8727A4F5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03148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24</xdr:row>
      <xdr:rowOff>0</xdr:rowOff>
    </xdr:from>
    <xdr:to>
      <xdr:col>0</xdr:col>
      <xdr:colOff>152400</xdr:colOff>
      <xdr:row>24</xdr:row>
      <xdr:rowOff>133350</xdr:rowOff>
    </xdr:to>
    <xdr:pic>
      <xdr:nvPicPr>
        <xdr:cNvPr id="498" name="Picture 65">
          <a:extLst>
            <a:ext uri="{FF2B5EF4-FFF2-40B4-BE49-F238E27FC236}">
              <a16:creationId xmlns:a16="http://schemas.microsoft.com/office/drawing/2014/main" id="{419FB431-1D24-48C8-BD3E-A6D644CB7F83}"/>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04767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25</xdr:row>
      <xdr:rowOff>0</xdr:rowOff>
    </xdr:from>
    <xdr:to>
      <xdr:col>0</xdr:col>
      <xdr:colOff>152400</xdr:colOff>
      <xdr:row>25</xdr:row>
      <xdr:rowOff>133350</xdr:rowOff>
    </xdr:to>
    <xdr:pic>
      <xdr:nvPicPr>
        <xdr:cNvPr id="499" name="Picture 64">
          <a:extLst>
            <a:ext uri="{FF2B5EF4-FFF2-40B4-BE49-F238E27FC236}">
              <a16:creationId xmlns:a16="http://schemas.microsoft.com/office/drawing/2014/main" id="{A16FCB5A-19CF-4B72-BC36-481244B92ECB}"/>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06386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26</xdr:row>
      <xdr:rowOff>0</xdr:rowOff>
    </xdr:from>
    <xdr:to>
      <xdr:col>0</xdr:col>
      <xdr:colOff>152400</xdr:colOff>
      <xdr:row>26</xdr:row>
      <xdr:rowOff>133350</xdr:rowOff>
    </xdr:to>
    <xdr:pic>
      <xdr:nvPicPr>
        <xdr:cNvPr id="500" name="Picture 63">
          <a:extLst>
            <a:ext uri="{FF2B5EF4-FFF2-40B4-BE49-F238E27FC236}">
              <a16:creationId xmlns:a16="http://schemas.microsoft.com/office/drawing/2014/main" id="{EDB46051-AAC9-4C0D-8693-893CE41D1DE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08005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27</xdr:row>
      <xdr:rowOff>0</xdr:rowOff>
    </xdr:from>
    <xdr:to>
      <xdr:col>0</xdr:col>
      <xdr:colOff>152400</xdr:colOff>
      <xdr:row>27</xdr:row>
      <xdr:rowOff>133350</xdr:rowOff>
    </xdr:to>
    <xdr:pic>
      <xdr:nvPicPr>
        <xdr:cNvPr id="501" name="Picture 62">
          <a:extLst>
            <a:ext uri="{FF2B5EF4-FFF2-40B4-BE49-F238E27FC236}">
              <a16:creationId xmlns:a16="http://schemas.microsoft.com/office/drawing/2014/main" id="{EE00CFBD-3228-4042-9979-E94AD9B3FBC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09625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28</xdr:row>
      <xdr:rowOff>0</xdr:rowOff>
    </xdr:from>
    <xdr:to>
      <xdr:col>0</xdr:col>
      <xdr:colOff>152400</xdr:colOff>
      <xdr:row>28</xdr:row>
      <xdr:rowOff>133350</xdr:rowOff>
    </xdr:to>
    <xdr:pic>
      <xdr:nvPicPr>
        <xdr:cNvPr id="502" name="Picture 61">
          <a:extLst>
            <a:ext uri="{FF2B5EF4-FFF2-40B4-BE49-F238E27FC236}">
              <a16:creationId xmlns:a16="http://schemas.microsoft.com/office/drawing/2014/main" id="{4407F673-BE19-4CB3-B9FA-E3097599EC3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11244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29</xdr:row>
      <xdr:rowOff>0</xdr:rowOff>
    </xdr:from>
    <xdr:to>
      <xdr:col>0</xdr:col>
      <xdr:colOff>152400</xdr:colOff>
      <xdr:row>29</xdr:row>
      <xdr:rowOff>133350</xdr:rowOff>
    </xdr:to>
    <xdr:pic>
      <xdr:nvPicPr>
        <xdr:cNvPr id="503" name="Picture 60">
          <a:extLst>
            <a:ext uri="{FF2B5EF4-FFF2-40B4-BE49-F238E27FC236}">
              <a16:creationId xmlns:a16="http://schemas.microsoft.com/office/drawing/2014/main" id="{25ACDEBD-2895-48CB-A717-F40A9CFEC457}"/>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12863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30</xdr:row>
      <xdr:rowOff>0</xdr:rowOff>
    </xdr:from>
    <xdr:to>
      <xdr:col>0</xdr:col>
      <xdr:colOff>152400</xdr:colOff>
      <xdr:row>30</xdr:row>
      <xdr:rowOff>133350</xdr:rowOff>
    </xdr:to>
    <xdr:pic>
      <xdr:nvPicPr>
        <xdr:cNvPr id="504" name="Picture 59">
          <a:extLst>
            <a:ext uri="{FF2B5EF4-FFF2-40B4-BE49-F238E27FC236}">
              <a16:creationId xmlns:a16="http://schemas.microsoft.com/office/drawing/2014/main" id="{6700C069-D766-45C7-AEEC-94AE4971C45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14482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31</xdr:row>
      <xdr:rowOff>0</xdr:rowOff>
    </xdr:from>
    <xdr:to>
      <xdr:col>0</xdr:col>
      <xdr:colOff>152400</xdr:colOff>
      <xdr:row>31</xdr:row>
      <xdr:rowOff>133350</xdr:rowOff>
    </xdr:to>
    <xdr:pic>
      <xdr:nvPicPr>
        <xdr:cNvPr id="505" name="Picture 58">
          <a:extLst>
            <a:ext uri="{FF2B5EF4-FFF2-40B4-BE49-F238E27FC236}">
              <a16:creationId xmlns:a16="http://schemas.microsoft.com/office/drawing/2014/main" id="{C9CFB2AE-372B-416F-A218-A3697657C59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16102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32</xdr:row>
      <xdr:rowOff>0</xdr:rowOff>
    </xdr:from>
    <xdr:to>
      <xdr:col>0</xdr:col>
      <xdr:colOff>152400</xdr:colOff>
      <xdr:row>32</xdr:row>
      <xdr:rowOff>133350</xdr:rowOff>
    </xdr:to>
    <xdr:pic>
      <xdr:nvPicPr>
        <xdr:cNvPr id="506" name="Picture 57">
          <a:extLst>
            <a:ext uri="{FF2B5EF4-FFF2-40B4-BE49-F238E27FC236}">
              <a16:creationId xmlns:a16="http://schemas.microsoft.com/office/drawing/2014/main" id="{5913D53F-ABC8-4CCA-8C30-54E2318DBA9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17721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33</xdr:row>
      <xdr:rowOff>0</xdr:rowOff>
    </xdr:from>
    <xdr:to>
      <xdr:col>0</xdr:col>
      <xdr:colOff>152400</xdr:colOff>
      <xdr:row>33</xdr:row>
      <xdr:rowOff>133350</xdr:rowOff>
    </xdr:to>
    <xdr:pic>
      <xdr:nvPicPr>
        <xdr:cNvPr id="507" name="Picture 56">
          <a:extLst>
            <a:ext uri="{FF2B5EF4-FFF2-40B4-BE49-F238E27FC236}">
              <a16:creationId xmlns:a16="http://schemas.microsoft.com/office/drawing/2014/main" id="{96C59F6A-BB7B-4F86-9A40-067F37CCE7B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19340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34</xdr:row>
      <xdr:rowOff>0</xdr:rowOff>
    </xdr:from>
    <xdr:to>
      <xdr:col>0</xdr:col>
      <xdr:colOff>152400</xdr:colOff>
      <xdr:row>34</xdr:row>
      <xdr:rowOff>133350</xdr:rowOff>
    </xdr:to>
    <xdr:pic>
      <xdr:nvPicPr>
        <xdr:cNvPr id="508" name="Picture 55">
          <a:extLst>
            <a:ext uri="{FF2B5EF4-FFF2-40B4-BE49-F238E27FC236}">
              <a16:creationId xmlns:a16="http://schemas.microsoft.com/office/drawing/2014/main" id="{F16C98D0-DC3B-4B5A-B11A-2761A052166A}"/>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20959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35</xdr:row>
      <xdr:rowOff>0</xdr:rowOff>
    </xdr:from>
    <xdr:to>
      <xdr:col>0</xdr:col>
      <xdr:colOff>152400</xdr:colOff>
      <xdr:row>35</xdr:row>
      <xdr:rowOff>133350</xdr:rowOff>
    </xdr:to>
    <xdr:pic>
      <xdr:nvPicPr>
        <xdr:cNvPr id="509" name="Picture 54">
          <a:extLst>
            <a:ext uri="{FF2B5EF4-FFF2-40B4-BE49-F238E27FC236}">
              <a16:creationId xmlns:a16="http://schemas.microsoft.com/office/drawing/2014/main" id="{370B4661-07E0-4818-9B72-A17FB970361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22579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36</xdr:row>
      <xdr:rowOff>0</xdr:rowOff>
    </xdr:from>
    <xdr:to>
      <xdr:col>0</xdr:col>
      <xdr:colOff>152400</xdr:colOff>
      <xdr:row>36</xdr:row>
      <xdr:rowOff>133350</xdr:rowOff>
    </xdr:to>
    <xdr:pic>
      <xdr:nvPicPr>
        <xdr:cNvPr id="510" name="Picture 53">
          <a:extLst>
            <a:ext uri="{FF2B5EF4-FFF2-40B4-BE49-F238E27FC236}">
              <a16:creationId xmlns:a16="http://schemas.microsoft.com/office/drawing/2014/main" id="{1617953F-1487-4B38-8452-FE3294B4B50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24198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37</xdr:row>
      <xdr:rowOff>0</xdr:rowOff>
    </xdr:from>
    <xdr:to>
      <xdr:col>0</xdr:col>
      <xdr:colOff>152400</xdr:colOff>
      <xdr:row>37</xdr:row>
      <xdr:rowOff>133350</xdr:rowOff>
    </xdr:to>
    <xdr:pic>
      <xdr:nvPicPr>
        <xdr:cNvPr id="511" name="Picture 52">
          <a:extLst>
            <a:ext uri="{FF2B5EF4-FFF2-40B4-BE49-F238E27FC236}">
              <a16:creationId xmlns:a16="http://schemas.microsoft.com/office/drawing/2014/main" id="{7E024988-1139-48A7-BC98-DFE68BFD3D9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25817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38</xdr:row>
      <xdr:rowOff>0</xdr:rowOff>
    </xdr:from>
    <xdr:to>
      <xdr:col>0</xdr:col>
      <xdr:colOff>152400</xdr:colOff>
      <xdr:row>38</xdr:row>
      <xdr:rowOff>133350</xdr:rowOff>
    </xdr:to>
    <xdr:pic>
      <xdr:nvPicPr>
        <xdr:cNvPr id="512" name="Picture 51">
          <a:extLst>
            <a:ext uri="{FF2B5EF4-FFF2-40B4-BE49-F238E27FC236}">
              <a16:creationId xmlns:a16="http://schemas.microsoft.com/office/drawing/2014/main" id="{B0135524-B523-41E7-9A51-67C66BEDA2F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27436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39</xdr:row>
      <xdr:rowOff>0</xdr:rowOff>
    </xdr:from>
    <xdr:to>
      <xdr:col>0</xdr:col>
      <xdr:colOff>152400</xdr:colOff>
      <xdr:row>39</xdr:row>
      <xdr:rowOff>133350</xdr:rowOff>
    </xdr:to>
    <xdr:pic>
      <xdr:nvPicPr>
        <xdr:cNvPr id="513" name="Picture 50">
          <a:extLst>
            <a:ext uri="{FF2B5EF4-FFF2-40B4-BE49-F238E27FC236}">
              <a16:creationId xmlns:a16="http://schemas.microsoft.com/office/drawing/2014/main" id="{CF5529DB-7791-4EF5-8610-7D78335A072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29056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40</xdr:row>
      <xdr:rowOff>0</xdr:rowOff>
    </xdr:from>
    <xdr:to>
      <xdr:col>0</xdr:col>
      <xdr:colOff>152400</xdr:colOff>
      <xdr:row>40</xdr:row>
      <xdr:rowOff>133350</xdr:rowOff>
    </xdr:to>
    <xdr:pic>
      <xdr:nvPicPr>
        <xdr:cNvPr id="514" name="Picture 49">
          <a:extLst>
            <a:ext uri="{FF2B5EF4-FFF2-40B4-BE49-F238E27FC236}">
              <a16:creationId xmlns:a16="http://schemas.microsoft.com/office/drawing/2014/main" id="{A6A41A14-061D-40A5-8C04-A7E431CB6F0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0675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41</xdr:row>
      <xdr:rowOff>0</xdr:rowOff>
    </xdr:from>
    <xdr:to>
      <xdr:col>0</xdr:col>
      <xdr:colOff>152400</xdr:colOff>
      <xdr:row>41</xdr:row>
      <xdr:rowOff>133350</xdr:rowOff>
    </xdr:to>
    <xdr:pic>
      <xdr:nvPicPr>
        <xdr:cNvPr id="515" name="Picture 48">
          <a:extLst>
            <a:ext uri="{FF2B5EF4-FFF2-40B4-BE49-F238E27FC236}">
              <a16:creationId xmlns:a16="http://schemas.microsoft.com/office/drawing/2014/main" id="{8ECFA0B2-1169-4C1B-B53F-585FEFDCAC4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2294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42</xdr:row>
      <xdr:rowOff>0</xdr:rowOff>
    </xdr:from>
    <xdr:to>
      <xdr:col>0</xdr:col>
      <xdr:colOff>152400</xdr:colOff>
      <xdr:row>42</xdr:row>
      <xdr:rowOff>133350</xdr:rowOff>
    </xdr:to>
    <xdr:pic>
      <xdr:nvPicPr>
        <xdr:cNvPr id="516" name="Picture 47">
          <a:extLst>
            <a:ext uri="{FF2B5EF4-FFF2-40B4-BE49-F238E27FC236}">
              <a16:creationId xmlns:a16="http://schemas.microsoft.com/office/drawing/2014/main" id="{2636B707-DB80-41EC-B927-04B9FBD1A377}"/>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3913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43</xdr:row>
      <xdr:rowOff>0</xdr:rowOff>
    </xdr:from>
    <xdr:to>
      <xdr:col>0</xdr:col>
      <xdr:colOff>152400</xdr:colOff>
      <xdr:row>43</xdr:row>
      <xdr:rowOff>133350</xdr:rowOff>
    </xdr:to>
    <xdr:pic>
      <xdr:nvPicPr>
        <xdr:cNvPr id="517" name="Picture 46">
          <a:extLst>
            <a:ext uri="{FF2B5EF4-FFF2-40B4-BE49-F238E27FC236}">
              <a16:creationId xmlns:a16="http://schemas.microsoft.com/office/drawing/2014/main" id="{5C98D535-BFCC-4F42-B7CF-26249A060AC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5533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44</xdr:row>
      <xdr:rowOff>0</xdr:rowOff>
    </xdr:from>
    <xdr:to>
      <xdr:col>0</xdr:col>
      <xdr:colOff>152400</xdr:colOff>
      <xdr:row>44</xdr:row>
      <xdr:rowOff>133350</xdr:rowOff>
    </xdr:to>
    <xdr:pic>
      <xdr:nvPicPr>
        <xdr:cNvPr id="522" name="Picture 41">
          <a:extLst>
            <a:ext uri="{FF2B5EF4-FFF2-40B4-BE49-F238E27FC236}">
              <a16:creationId xmlns:a16="http://schemas.microsoft.com/office/drawing/2014/main" id="{D03AF85B-D742-4AFC-AAD6-51D8729898C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43629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45</xdr:row>
      <xdr:rowOff>0</xdr:rowOff>
    </xdr:from>
    <xdr:to>
      <xdr:col>0</xdr:col>
      <xdr:colOff>152400</xdr:colOff>
      <xdr:row>45</xdr:row>
      <xdr:rowOff>133350</xdr:rowOff>
    </xdr:to>
    <xdr:pic>
      <xdr:nvPicPr>
        <xdr:cNvPr id="523" name="Picture 40">
          <a:extLst>
            <a:ext uri="{FF2B5EF4-FFF2-40B4-BE49-F238E27FC236}">
              <a16:creationId xmlns:a16="http://schemas.microsoft.com/office/drawing/2014/main" id="{4774F9C6-87A5-42BF-8C34-F225374F52D7}"/>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45248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46</xdr:row>
      <xdr:rowOff>0</xdr:rowOff>
    </xdr:from>
    <xdr:to>
      <xdr:col>0</xdr:col>
      <xdr:colOff>152400</xdr:colOff>
      <xdr:row>46</xdr:row>
      <xdr:rowOff>133350</xdr:rowOff>
    </xdr:to>
    <xdr:pic>
      <xdr:nvPicPr>
        <xdr:cNvPr id="524" name="Picture 39">
          <a:extLst>
            <a:ext uri="{FF2B5EF4-FFF2-40B4-BE49-F238E27FC236}">
              <a16:creationId xmlns:a16="http://schemas.microsoft.com/office/drawing/2014/main" id="{A4FC820F-905D-4621-A080-9520BC76DC6E}"/>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46867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47</xdr:row>
      <xdr:rowOff>0</xdr:rowOff>
    </xdr:from>
    <xdr:to>
      <xdr:col>0</xdr:col>
      <xdr:colOff>152400</xdr:colOff>
      <xdr:row>47</xdr:row>
      <xdr:rowOff>133350</xdr:rowOff>
    </xdr:to>
    <xdr:pic>
      <xdr:nvPicPr>
        <xdr:cNvPr id="525" name="Picture 38">
          <a:extLst>
            <a:ext uri="{FF2B5EF4-FFF2-40B4-BE49-F238E27FC236}">
              <a16:creationId xmlns:a16="http://schemas.microsoft.com/office/drawing/2014/main" id="{3B15313D-F7C6-4131-B43F-E545B61ACD1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48487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48</xdr:row>
      <xdr:rowOff>0</xdr:rowOff>
    </xdr:from>
    <xdr:to>
      <xdr:col>0</xdr:col>
      <xdr:colOff>152400</xdr:colOff>
      <xdr:row>48</xdr:row>
      <xdr:rowOff>133350</xdr:rowOff>
    </xdr:to>
    <xdr:pic>
      <xdr:nvPicPr>
        <xdr:cNvPr id="526" name="Picture 37">
          <a:extLst>
            <a:ext uri="{FF2B5EF4-FFF2-40B4-BE49-F238E27FC236}">
              <a16:creationId xmlns:a16="http://schemas.microsoft.com/office/drawing/2014/main" id="{1C6E1D10-F127-42CD-B0FE-94564D93CBF8}"/>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50106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49</xdr:row>
      <xdr:rowOff>0</xdr:rowOff>
    </xdr:from>
    <xdr:to>
      <xdr:col>0</xdr:col>
      <xdr:colOff>152400</xdr:colOff>
      <xdr:row>49</xdr:row>
      <xdr:rowOff>133350</xdr:rowOff>
    </xdr:to>
    <xdr:pic>
      <xdr:nvPicPr>
        <xdr:cNvPr id="527" name="Picture 36">
          <a:extLst>
            <a:ext uri="{FF2B5EF4-FFF2-40B4-BE49-F238E27FC236}">
              <a16:creationId xmlns:a16="http://schemas.microsoft.com/office/drawing/2014/main" id="{548DDCD6-746D-427C-BC60-78C00C7E5175}"/>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51725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50</xdr:row>
      <xdr:rowOff>0</xdr:rowOff>
    </xdr:from>
    <xdr:to>
      <xdr:col>0</xdr:col>
      <xdr:colOff>152400</xdr:colOff>
      <xdr:row>50</xdr:row>
      <xdr:rowOff>133350</xdr:rowOff>
    </xdr:to>
    <xdr:pic>
      <xdr:nvPicPr>
        <xdr:cNvPr id="528" name="Picture 35">
          <a:extLst>
            <a:ext uri="{FF2B5EF4-FFF2-40B4-BE49-F238E27FC236}">
              <a16:creationId xmlns:a16="http://schemas.microsoft.com/office/drawing/2014/main" id="{379FD539-2D42-419C-A990-4B78893616A3}"/>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53344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51</xdr:row>
      <xdr:rowOff>0</xdr:rowOff>
    </xdr:from>
    <xdr:to>
      <xdr:col>0</xdr:col>
      <xdr:colOff>152400</xdr:colOff>
      <xdr:row>51</xdr:row>
      <xdr:rowOff>133350</xdr:rowOff>
    </xdr:to>
    <xdr:pic>
      <xdr:nvPicPr>
        <xdr:cNvPr id="529" name="Picture 34">
          <a:extLst>
            <a:ext uri="{FF2B5EF4-FFF2-40B4-BE49-F238E27FC236}">
              <a16:creationId xmlns:a16="http://schemas.microsoft.com/office/drawing/2014/main" id="{8C521DA6-3E2C-4885-B5FA-C29B5BAF190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54964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52</xdr:row>
      <xdr:rowOff>0</xdr:rowOff>
    </xdr:from>
    <xdr:to>
      <xdr:col>0</xdr:col>
      <xdr:colOff>152400</xdr:colOff>
      <xdr:row>52</xdr:row>
      <xdr:rowOff>133350</xdr:rowOff>
    </xdr:to>
    <xdr:pic>
      <xdr:nvPicPr>
        <xdr:cNvPr id="530" name="Picture 33">
          <a:extLst>
            <a:ext uri="{FF2B5EF4-FFF2-40B4-BE49-F238E27FC236}">
              <a16:creationId xmlns:a16="http://schemas.microsoft.com/office/drawing/2014/main" id="{E9EC8B9B-702A-450D-B413-55E8F16D019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56583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53</xdr:row>
      <xdr:rowOff>0</xdr:rowOff>
    </xdr:from>
    <xdr:to>
      <xdr:col>0</xdr:col>
      <xdr:colOff>152400</xdr:colOff>
      <xdr:row>53</xdr:row>
      <xdr:rowOff>133350</xdr:rowOff>
    </xdr:to>
    <xdr:pic>
      <xdr:nvPicPr>
        <xdr:cNvPr id="531" name="Picture 32">
          <a:extLst>
            <a:ext uri="{FF2B5EF4-FFF2-40B4-BE49-F238E27FC236}">
              <a16:creationId xmlns:a16="http://schemas.microsoft.com/office/drawing/2014/main" id="{44397D8E-6D85-4CA5-9B21-857E6C248F95}"/>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58202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54</xdr:row>
      <xdr:rowOff>0</xdr:rowOff>
    </xdr:from>
    <xdr:to>
      <xdr:col>0</xdr:col>
      <xdr:colOff>152400</xdr:colOff>
      <xdr:row>54</xdr:row>
      <xdr:rowOff>133350</xdr:rowOff>
    </xdr:to>
    <xdr:pic>
      <xdr:nvPicPr>
        <xdr:cNvPr id="532" name="Picture 31">
          <a:extLst>
            <a:ext uri="{FF2B5EF4-FFF2-40B4-BE49-F238E27FC236}">
              <a16:creationId xmlns:a16="http://schemas.microsoft.com/office/drawing/2014/main" id="{51414BFB-BB3E-4EDF-881A-5A21C7CA8EE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59821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55</xdr:row>
      <xdr:rowOff>0</xdr:rowOff>
    </xdr:from>
    <xdr:to>
      <xdr:col>0</xdr:col>
      <xdr:colOff>152400</xdr:colOff>
      <xdr:row>55</xdr:row>
      <xdr:rowOff>133350</xdr:rowOff>
    </xdr:to>
    <xdr:pic>
      <xdr:nvPicPr>
        <xdr:cNvPr id="533" name="Picture 30">
          <a:extLst>
            <a:ext uri="{FF2B5EF4-FFF2-40B4-BE49-F238E27FC236}">
              <a16:creationId xmlns:a16="http://schemas.microsoft.com/office/drawing/2014/main" id="{C1E8BF4D-631B-410D-B86F-F09197568FC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61441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56</xdr:row>
      <xdr:rowOff>0</xdr:rowOff>
    </xdr:from>
    <xdr:to>
      <xdr:col>0</xdr:col>
      <xdr:colOff>152400</xdr:colOff>
      <xdr:row>56</xdr:row>
      <xdr:rowOff>133350</xdr:rowOff>
    </xdr:to>
    <xdr:pic>
      <xdr:nvPicPr>
        <xdr:cNvPr id="534" name="Picture 29">
          <a:extLst>
            <a:ext uri="{FF2B5EF4-FFF2-40B4-BE49-F238E27FC236}">
              <a16:creationId xmlns:a16="http://schemas.microsoft.com/office/drawing/2014/main" id="{7E8CCC94-990A-406E-8F03-5FEC5DBE1E2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63060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57</xdr:row>
      <xdr:rowOff>0</xdr:rowOff>
    </xdr:from>
    <xdr:to>
      <xdr:col>0</xdr:col>
      <xdr:colOff>152400</xdr:colOff>
      <xdr:row>57</xdr:row>
      <xdr:rowOff>133350</xdr:rowOff>
    </xdr:to>
    <xdr:pic>
      <xdr:nvPicPr>
        <xdr:cNvPr id="535" name="Picture 28">
          <a:extLst>
            <a:ext uri="{FF2B5EF4-FFF2-40B4-BE49-F238E27FC236}">
              <a16:creationId xmlns:a16="http://schemas.microsoft.com/office/drawing/2014/main" id="{80EB8FBC-F07F-4AAB-AC17-42A1B2E9D1D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64679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58</xdr:row>
      <xdr:rowOff>0</xdr:rowOff>
    </xdr:from>
    <xdr:to>
      <xdr:col>0</xdr:col>
      <xdr:colOff>152400</xdr:colOff>
      <xdr:row>58</xdr:row>
      <xdr:rowOff>133350</xdr:rowOff>
    </xdr:to>
    <xdr:pic>
      <xdr:nvPicPr>
        <xdr:cNvPr id="536" name="Picture 27">
          <a:extLst>
            <a:ext uri="{FF2B5EF4-FFF2-40B4-BE49-F238E27FC236}">
              <a16:creationId xmlns:a16="http://schemas.microsoft.com/office/drawing/2014/main" id="{C59F8BC0-F053-4097-9A20-3031B3C487B5}"/>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66298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59</xdr:row>
      <xdr:rowOff>0</xdr:rowOff>
    </xdr:from>
    <xdr:to>
      <xdr:col>0</xdr:col>
      <xdr:colOff>152400</xdr:colOff>
      <xdr:row>59</xdr:row>
      <xdr:rowOff>133350</xdr:rowOff>
    </xdr:to>
    <xdr:pic>
      <xdr:nvPicPr>
        <xdr:cNvPr id="537" name="Picture 26">
          <a:extLst>
            <a:ext uri="{FF2B5EF4-FFF2-40B4-BE49-F238E27FC236}">
              <a16:creationId xmlns:a16="http://schemas.microsoft.com/office/drawing/2014/main" id="{885235B2-A119-4D88-BBB6-22A1DA4CBE4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67918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60</xdr:row>
      <xdr:rowOff>0</xdr:rowOff>
    </xdr:from>
    <xdr:to>
      <xdr:col>0</xdr:col>
      <xdr:colOff>152400</xdr:colOff>
      <xdr:row>60</xdr:row>
      <xdr:rowOff>133350</xdr:rowOff>
    </xdr:to>
    <xdr:pic>
      <xdr:nvPicPr>
        <xdr:cNvPr id="538" name="Picture 25">
          <a:extLst>
            <a:ext uri="{FF2B5EF4-FFF2-40B4-BE49-F238E27FC236}">
              <a16:creationId xmlns:a16="http://schemas.microsoft.com/office/drawing/2014/main" id="{10837BFA-8EF2-4032-AB93-DE0525F9B58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69537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61</xdr:row>
      <xdr:rowOff>0</xdr:rowOff>
    </xdr:from>
    <xdr:to>
      <xdr:col>0</xdr:col>
      <xdr:colOff>152400</xdr:colOff>
      <xdr:row>61</xdr:row>
      <xdr:rowOff>133350</xdr:rowOff>
    </xdr:to>
    <xdr:pic>
      <xdr:nvPicPr>
        <xdr:cNvPr id="539" name="Picture 24">
          <a:extLst>
            <a:ext uri="{FF2B5EF4-FFF2-40B4-BE49-F238E27FC236}">
              <a16:creationId xmlns:a16="http://schemas.microsoft.com/office/drawing/2014/main" id="{04012894-5BFB-4C3C-A52A-460AC58A097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71156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62</xdr:row>
      <xdr:rowOff>0</xdr:rowOff>
    </xdr:from>
    <xdr:to>
      <xdr:col>0</xdr:col>
      <xdr:colOff>152400</xdr:colOff>
      <xdr:row>62</xdr:row>
      <xdr:rowOff>133350</xdr:rowOff>
    </xdr:to>
    <xdr:pic>
      <xdr:nvPicPr>
        <xdr:cNvPr id="540" name="Picture 23">
          <a:extLst>
            <a:ext uri="{FF2B5EF4-FFF2-40B4-BE49-F238E27FC236}">
              <a16:creationId xmlns:a16="http://schemas.microsoft.com/office/drawing/2014/main" id="{0CEFFB74-2CC9-48EA-960A-CC3D87DC604E}"/>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72775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63</xdr:row>
      <xdr:rowOff>0</xdr:rowOff>
    </xdr:from>
    <xdr:to>
      <xdr:col>0</xdr:col>
      <xdr:colOff>152400</xdr:colOff>
      <xdr:row>63</xdr:row>
      <xdr:rowOff>133350</xdr:rowOff>
    </xdr:to>
    <xdr:pic>
      <xdr:nvPicPr>
        <xdr:cNvPr id="541" name="Picture 22">
          <a:extLst>
            <a:ext uri="{FF2B5EF4-FFF2-40B4-BE49-F238E27FC236}">
              <a16:creationId xmlns:a16="http://schemas.microsoft.com/office/drawing/2014/main" id="{E0504777-2ADE-4FCB-A755-921217745F3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74395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64</xdr:row>
      <xdr:rowOff>0</xdr:rowOff>
    </xdr:from>
    <xdr:to>
      <xdr:col>0</xdr:col>
      <xdr:colOff>152400</xdr:colOff>
      <xdr:row>64</xdr:row>
      <xdr:rowOff>133350</xdr:rowOff>
    </xdr:to>
    <xdr:pic>
      <xdr:nvPicPr>
        <xdr:cNvPr id="542" name="Picture 21">
          <a:extLst>
            <a:ext uri="{FF2B5EF4-FFF2-40B4-BE49-F238E27FC236}">
              <a16:creationId xmlns:a16="http://schemas.microsoft.com/office/drawing/2014/main" id="{175C7A2B-8CBB-4B99-A9D6-42ECF22FB66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76014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65</xdr:row>
      <xdr:rowOff>0</xdr:rowOff>
    </xdr:from>
    <xdr:to>
      <xdr:col>0</xdr:col>
      <xdr:colOff>152400</xdr:colOff>
      <xdr:row>65</xdr:row>
      <xdr:rowOff>133350</xdr:rowOff>
    </xdr:to>
    <xdr:pic>
      <xdr:nvPicPr>
        <xdr:cNvPr id="543" name="Picture 20">
          <a:extLst>
            <a:ext uri="{FF2B5EF4-FFF2-40B4-BE49-F238E27FC236}">
              <a16:creationId xmlns:a16="http://schemas.microsoft.com/office/drawing/2014/main" id="{E0E60BCB-D923-4270-BDBE-CC851CD2041E}"/>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77633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66</xdr:row>
      <xdr:rowOff>0</xdr:rowOff>
    </xdr:from>
    <xdr:to>
      <xdr:col>0</xdr:col>
      <xdr:colOff>152400</xdr:colOff>
      <xdr:row>66</xdr:row>
      <xdr:rowOff>133350</xdr:rowOff>
    </xdr:to>
    <xdr:pic>
      <xdr:nvPicPr>
        <xdr:cNvPr id="544" name="Picture 19">
          <a:extLst>
            <a:ext uri="{FF2B5EF4-FFF2-40B4-BE49-F238E27FC236}">
              <a16:creationId xmlns:a16="http://schemas.microsoft.com/office/drawing/2014/main" id="{F38E86F8-4728-48BD-88BE-90551D0A53D7}"/>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79252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67</xdr:row>
      <xdr:rowOff>0</xdr:rowOff>
    </xdr:from>
    <xdr:to>
      <xdr:col>0</xdr:col>
      <xdr:colOff>152400</xdr:colOff>
      <xdr:row>67</xdr:row>
      <xdr:rowOff>133350</xdr:rowOff>
    </xdr:to>
    <xdr:pic>
      <xdr:nvPicPr>
        <xdr:cNvPr id="545" name="Picture 18">
          <a:extLst>
            <a:ext uri="{FF2B5EF4-FFF2-40B4-BE49-F238E27FC236}">
              <a16:creationId xmlns:a16="http://schemas.microsoft.com/office/drawing/2014/main" id="{5FBBE07A-643B-4B84-AA43-0FA9A1AB51F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80872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68</xdr:row>
      <xdr:rowOff>0</xdr:rowOff>
    </xdr:from>
    <xdr:to>
      <xdr:col>0</xdr:col>
      <xdr:colOff>152400</xdr:colOff>
      <xdr:row>68</xdr:row>
      <xdr:rowOff>133350</xdr:rowOff>
    </xdr:to>
    <xdr:pic>
      <xdr:nvPicPr>
        <xdr:cNvPr id="546" name="Picture 17">
          <a:extLst>
            <a:ext uri="{FF2B5EF4-FFF2-40B4-BE49-F238E27FC236}">
              <a16:creationId xmlns:a16="http://schemas.microsoft.com/office/drawing/2014/main" id="{6D7F1A0E-D2FB-4572-8B61-2E50BC2FCC6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82491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69</xdr:row>
      <xdr:rowOff>0</xdr:rowOff>
    </xdr:from>
    <xdr:to>
      <xdr:col>0</xdr:col>
      <xdr:colOff>152400</xdr:colOff>
      <xdr:row>69</xdr:row>
      <xdr:rowOff>133350</xdr:rowOff>
    </xdr:to>
    <xdr:pic>
      <xdr:nvPicPr>
        <xdr:cNvPr id="547" name="Picture 16">
          <a:extLst>
            <a:ext uri="{FF2B5EF4-FFF2-40B4-BE49-F238E27FC236}">
              <a16:creationId xmlns:a16="http://schemas.microsoft.com/office/drawing/2014/main" id="{A45CE760-C03D-4164-8D4A-6464017B2E0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84110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70</xdr:row>
      <xdr:rowOff>0</xdr:rowOff>
    </xdr:from>
    <xdr:to>
      <xdr:col>0</xdr:col>
      <xdr:colOff>152400</xdr:colOff>
      <xdr:row>70</xdr:row>
      <xdr:rowOff>133350</xdr:rowOff>
    </xdr:to>
    <xdr:pic>
      <xdr:nvPicPr>
        <xdr:cNvPr id="548" name="Picture 15">
          <a:extLst>
            <a:ext uri="{FF2B5EF4-FFF2-40B4-BE49-F238E27FC236}">
              <a16:creationId xmlns:a16="http://schemas.microsoft.com/office/drawing/2014/main" id="{1C371FA5-5A9C-4631-8EC0-31F62A0464B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85729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71</xdr:row>
      <xdr:rowOff>0</xdr:rowOff>
    </xdr:from>
    <xdr:to>
      <xdr:col>0</xdr:col>
      <xdr:colOff>152400</xdr:colOff>
      <xdr:row>71</xdr:row>
      <xdr:rowOff>133350</xdr:rowOff>
    </xdr:to>
    <xdr:pic>
      <xdr:nvPicPr>
        <xdr:cNvPr id="549" name="Picture 14">
          <a:extLst>
            <a:ext uri="{FF2B5EF4-FFF2-40B4-BE49-F238E27FC236}">
              <a16:creationId xmlns:a16="http://schemas.microsoft.com/office/drawing/2014/main" id="{2E732F94-90E5-48FD-8336-58D20EE0AA0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87349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72</xdr:row>
      <xdr:rowOff>0</xdr:rowOff>
    </xdr:from>
    <xdr:to>
      <xdr:col>0</xdr:col>
      <xdr:colOff>152400</xdr:colOff>
      <xdr:row>72</xdr:row>
      <xdr:rowOff>133350</xdr:rowOff>
    </xdr:to>
    <xdr:pic>
      <xdr:nvPicPr>
        <xdr:cNvPr id="550" name="Picture 13">
          <a:extLst>
            <a:ext uri="{FF2B5EF4-FFF2-40B4-BE49-F238E27FC236}">
              <a16:creationId xmlns:a16="http://schemas.microsoft.com/office/drawing/2014/main" id="{0AB112B0-0EDB-4115-AE0E-4F9C3C2004E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88968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73</xdr:row>
      <xdr:rowOff>0</xdr:rowOff>
    </xdr:from>
    <xdr:to>
      <xdr:col>0</xdr:col>
      <xdr:colOff>152400</xdr:colOff>
      <xdr:row>73</xdr:row>
      <xdr:rowOff>133350</xdr:rowOff>
    </xdr:to>
    <xdr:pic>
      <xdr:nvPicPr>
        <xdr:cNvPr id="551" name="Picture 12">
          <a:extLst>
            <a:ext uri="{FF2B5EF4-FFF2-40B4-BE49-F238E27FC236}">
              <a16:creationId xmlns:a16="http://schemas.microsoft.com/office/drawing/2014/main" id="{BBEE2BBE-6887-488E-97E5-9D4EBE7FBB3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90587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74</xdr:row>
      <xdr:rowOff>0</xdr:rowOff>
    </xdr:from>
    <xdr:to>
      <xdr:col>0</xdr:col>
      <xdr:colOff>152400</xdr:colOff>
      <xdr:row>74</xdr:row>
      <xdr:rowOff>133350</xdr:rowOff>
    </xdr:to>
    <xdr:pic>
      <xdr:nvPicPr>
        <xdr:cNvPr id="552" name="Picture 11">
          <a:extLst>
            <a:ext uri="{FF2B5EF4-FFF2-40B4-BE49-F238E27FC236}">
              <a16:creationId xmlns:a16="http://schemas.microsoft.com/office/drawing/2014/main" id="{B25DCAC2-2D39-4E42-8B75-75860CBEBFF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92206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75</xdr:row>
      <xdr:rowOff>0</xdr:rowOff>
    </xdr:from>
    <xdr:to>
      <xdr:col>0</xdr:col>
      <xdr:colOff>152400</xdr:colOff>
      <xdr:row>75</xdr:row>
      <xdr:rowOff>133350</xdr:rowOff>
    </xdr:to>
    <xdr:pic>
      <xdr:nvPicPr>
        <xdr:cNvPr id="553" name="Picture 10">
          <a:extLst>
            <a:ext uri="{FF2B5EF4-FFF2-40B4-BE49-F238E27FC236}">
              <a16:creationId xmlns:a16="http://schemas.microsoft.com/office/drawing/2014/main" id="{F0CDB6B2-3159-4F5E-A930-EE250FC37F3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93826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76</xdr:row>
      <xdr:rowOff>0</xdr:rowOff>
    </xdr:from>
    <xdr:to>
      <xdr:col>0</xdr:col>
      <xdr:colOff>152400</xdr:colOff>
      <xdr:row>76</xdr:row>
      <xdr:rowOff>133350</xdr:rowOff>
    </xdr:to>
    <xdr:pic>
      <xdr:nvPicPr>
        <xdr:cNvPr id="554" name="Picture 9">
          <a:extLst>
            <a:ext uri="{FF2B5EF4-FFF2-40B4-BE49-F238E27FC236}">
              <a16:creationId xmlns:a16="http://schemas.microsoft.com/office/drawing/2014/main" id="{A06F6769-27FA-456B-9350-6E3ACC99572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95445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77</xdr:row>
      <xdr:rowOff>0</xdr:rowOff>
    </xdr:from>
    <xdr:to>
      <xdr:col>0</xdr:col>
      <xdr:colOff>152400</xdr:colOff>
      <xdr:row>77</xdr:row>
      <xdr:rowOff>133350</xdr:rowOff>
    </xdr:to>
    <xdr:pic>
      <xdr:nvPicPr>
        <xdr:cNvPr id="555" name="Picture 8">
          <a:extLst>
            <a:ext uri="{FF2B5EF4-FFF2-40B4-BE49-F238E27FC236}">
              <a16:creationId xmlns:a16="http://schemas.microsoft.com/office/drawing/2014/main" id="{CED5CA8A-33EA-4947-8B4E-D350124ED58A}"/>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97064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78</xdr:row>
      <xdr:rowOff>0</xdr:rowOff>
    </xdr:from>
    <xdr:to>
      <xdr:col>0</xdr:col>
      <xdr:colOff>152400</xdr:colOff>
      <xdr:row>78</xdr:row>
      <xdr:rowOff>133350</xdr:rowOff>
    </xdr:to>
    <xdr:pic>
      <xdr:nvPicPr>
        <xdr:cNvPr id="556" name="Picture 7">
          <a:extLst>
            <a:ext uri="{FF2B5EF4-FFF2-40B4-BE49-F238E27FC236}">
              <a16:creationId xmlns:a16="http://schemas.microsoft.com/office/drawing/2014/main" id="{E9A454CD-595D-45AD-945A-893D911DAF5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98683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79</xdr:row>
      <xdr:rowOff>0</xdr:rowOff>
    </xdr:from>
    <xdr:to>
      <xdr:col>0</xdr:col>
      <xdr:colOff>152400</xdr:colOff>
      <xdr:row>79</xdr:row>
      <xdr:rowOff>133350</xdr:rowOff>
    </xdr:to>
    <xdr:pic>
      <xdr:nvPicPr>
        <xdr:cNvPr id="557" name="Picture 6">
          <a:extLst>
            <a:ext uri="{FF2B5EF4-FFF2-40B4-BE49-F238E27FC236}">
              <a16:creationId xmlns:a16="http://schemas.microsoft.com/office/drawing/2014/main" id="{16B2C919-171B-47EE-851E-00C0127D64C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00303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510</xdr:row>
      <xdr:rowOff>0</xdr:rowOff>
    </xdr:from>
    <xdr:to>
      <xdr:col>0</xdr:col>
      <xdr:colOff>152400</xdr:colOff>
      <xdr:row>510</xdr:row>
      <xdr:rowOff>133350</xdr:rowOff>
    </xdr:to>
    <xdr:pic>
      <xdr:nvPicPr>
        <xdr:cNvPr id="558" name="Picture 5">
          <a:extLst>
            <a:ext uri="{FF2B5EF4-FFF2-40B4-BE49-F238E27FC236}">
              <a16:creationId xmlns:a16="http://schemas.microsoft.com/office/drawing/2014/main" id="{2D6A14D7-91C6-4763-B02C-413409323808}"/>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01922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511</xdr:row>
      <xdr:rowOff>0</xdr:rowOff>
    </xdr:from>
    <xdr:to>
      <xdr:col>0</xdr:col>
      <xdr:colOff>152400</xdr:colOff>
      <xdr:row>511</xdr:row>
      <xdr:rowOff>133350</xdr:rowOff>
    </xdr:to>
    <xdr:pic>
      <xdr:nvPicPr>
        <xdr:cNvPr id="559" name="Picture 4">
          <a:extLst>
            <a:ext uri="{FF2B5EF4-FFF2-40B4-BE49-F238E27FC236}">
              <a16:creationId xmlns:a16="http://schemas.microsoft.com/office/drawing/2014/main" id="{CEF5D39A-90A0-4F95-9069-3291E84C74A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03541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512</xdr:row>
      <xdr:rowOff>0</xdr:rowOff>
    </xdr:from>
    <xdr:to>
      <xdr:col>0</xdr:col>
      <xdr:colOff>152400</xdr:colOff>
      <xdr:row>512</xdr:row>
      <xdr:rowOff>133350</xdr:rowOff>
    </xdr:to>
    <xdr:pic>
      <xdr:nvPicPr>
        <xdr:cNvPr id="560" name="Picture 3">
          <a:extLst>
            <a:ext uri="{FF2B5EF4-FFF2-40B4-BE49-F238E27FC236}">
              <a16:creationId xmlns:a16="http://schemas.microsoft.com/office/drawing/2014/main" id="{E1F7A3C9-85B5-4FE2-B1AB-7C1924057148}"/>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05160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513</xdr:row>
      <xdr:rowOff>0</xdr:rowOff>
    </xdr:from>
    <xdr:to>
      <xdr:col>0</xdr:col>
      <xdr:colOff>152400</xdr:colOff>
      <xdr:row>513</xdr:row>
      <xdr:rowOff>133350</xdr:rowOff>
    </xdr:to>
    <xdr:pic>
      <xdr:nvPicPr>
        <xdr:cNvPr id="561" name="Picture 2">
          <a:extLst>
            <a:ext uri="{FF2B5EF4-FFF2-40B4-BE49-F238E27FC236}">
              <a16:creationId xmlns:a16="http://schemas.microsoft.com/office/drawing/2014/main" id="{114328AC-B43C-441E-8F6B-6FB4A464BE13}"/>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06780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518</xdr:row>
      <xdr:rowOff>0</xdr:rowOff>
    </xdr:from>
    <xdr:to>
      <xdr:col>0</xdr:col>
      <xdr:colOff>152400</xdr:colOff>
      <xdr:row>518</xdr:row>
      <xdr:rowOff>133350</xdr:rowOff>
    </xdr:to>
    <xdr:pic>
      <xdr:nvPicPr>
        <xdr:cNvPr id="562" name="Picture 565">
          <a:extLst>
            <a:ext uri="{FF2B5EF4-FFF2-40B4-BE49-F238E27FC236}">
              <a16:creationId xmlns:a16="http://schemas.microsoft.com/office/drawing/2014/main" id="{B9C19A41-E340-4E6D-9719-8DE74EADD5EC}"/>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19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519</xdr:row>
      <xdr:rowOff>0</xdr:rowOff>
    </xdr:from>
    <xdr:to>
      <xdr:col>0</xdr:col>
      <xdr:colOff>152400</xdr:colOff>
      <xdr:row>519</xdr:row>
      <xdr:rowOff>133350</xdr:rowOff>
    </xdr:to>
    <xdr:pic>
      <xdr:nvPicPr>
        <xdr:cNvPr id="563" name="Picture 564">
          <a:extLst>
            <a:ext uri="{FF2B5EF4-FFF2-40B4-BE49-F238E27FC236}">
              <a16:creationId xmlns:a16="http://schemas.microsoft.com/office/drawing/2014/main" id="{41CC39D1-B849-4062-A92C-D66B08FB849B}"/>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238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520</xdr:row>
      <xdr:rowOff>0</xdr:rowOff>
    </xdr:from>
    <xdr:to>
      <xdr:col>0</xdr:col>
      <xdr:colOff>152400</xdr:colOff>
      <xdr:row>520</xdr:row>
      <xdr:rowOff>133350</xdr:rowOff>
    </xdr:to>
    <xdr:pic>
      <xdr:nvPicPr>
        <xdr:cNvPr id="564" name="Picture 563">
          <a:extLst>
            <a:ext uri="{FF2B5EF4-FFF2-40B4-BE49-F238E27FC236}">
              <a16:creationId xmlns:a16="http://schemas.microsoft.com/office/drawing/2014/main" id="{640755B2-24A9-4F30-8A7C-F9218084C905}"/>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857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521</xdr:row>
      <xdr:rowOff>0</xdr:rowOff>
    </xdr:from>
    <xdr:to>
      <xdr:col>0</xdr:col>
      <xdr:colOff>152400</xdr:colOff>
      <xdr:row>521</xdr:row>
      <xdr:rowOff>133350</xdr:rowOff>
    </xdr:to>
    <xdr:pic>
      <xdr:nvPicPr>
        <xdr:cNvPr id="565" name="Picture 562">
          <a:extLst>
            <a:ext uri="{FF2B5EF4-FFF2-40B4-BE49-F238E27FC236}">
              <a16:creationId xmlns:a16="http://schemas.microsoft.com/office/drawing/2014/main" id="{69E29DD3-B085-4D38-BF8E-9368FFADD9FC}"/>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77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522</xdr:row>
      <xdr:rowOff>0</xdr:rowOff>
    </xdr:from>
    <xdr:to>
      <xdr:col>0</xdr:col>
      <xdr:colOff>152400</xdr:colOff>
      <xdr:row>522</xdr:row>
      <xdr:rowOff>133350</xdr:rowOff>
    </xdr:to>
    <xdr:pic>
      <xdr:nvPicPr>
        <xdr:cNvPr id="566" name="Picture 561">
          <a:extLst>
            <a:ext uri="{FF2B5EF4-FFF2-40B4-BE49-F238E27FC236}">
              <a16:creationId xmlns:a16="http://schemas.microsoft.com/office/drawing/2014/main" id="{EAC5F47C-E567-4619-9151-2E36D7C67DB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096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523</xdr:row>
      <xdr:rowOff>0</xdr:rowOff>
    </xdr:from>
    <xdr:to>
      <xdr:col>0</xdr:col>
      <xdr:colOff>152400</xdr:colOff>
      <xdr:row>523</xdr:row>
      <xdr:rowOff>133350</xdr:rowOff>
    </xdr:to>
    <xdr:pic>
      <xdr:nvPicPr>
        <xdr:cNvPr id="567" name="Picture 560">
          <a:extLst>
            <a:ext uri="{FF2B5EF4-FFF2-40B4-BE49-F238E27FC236}">
              <a16:creationId xmlns:a16="http://schemas.microsoft.com/office/drawing/2014/main" id="{CC8AD6D5-0482-459E-BD1C-D43E2E8EDC9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715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524</xdr:row>
      <xdr:rowOff>0</xdr:rowOff>
    </xdr:from>
    <xdr:to>
      <xdr:col>0</xdr:col>
      <xdr:colOff>152400</xdr:colOff>
      <xdr:row>524</xdr:row>
      <xdr:rowOff>133350</xdr:rowOff>
    </xdr:to>
    <xdr:pic>
      <xdr:nvPicPr>
        <xdr:cNvPr id="568" name="Picture 559">
          <a:extLst>
            <a:ext uri="{FF2B5EF4-FFF2-40B4-BE49-F238E27FC236}">
              <a16:creationId xmlns:a16="http://schemas.microsoft.com/office/drawing/2014/main" id="{5A6523E3-2F60-416A-B811-55A9130773F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334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525</xdr:row>
      <xdr:rowOff>0</xdr:rowOff>
    </xdr:from>
    <xdr:to>
      <xdr:col>0</xdr:col>
      <xdr:colOff>152400</xdr:colOff>
      <xdr:row>525</xdr:row>
      <xdr:rowOff>133350</xdr:rowOff>
    </xdr:to>
    <xdr:pic>
      <xdr:nvPicPr>
        <xdr:cNvPr id="569" name="Picture 558">
          <a:extLst>
            <a:ext uri="{FF2B5EF4-FFF2-40B4-BE49-F238E27FC236}">
              <a16:creationId xmlns:a16="http://schemas.microsoft.com/office/drawing/2014/main" id="{025B5E0D-084E-40FB-B47C-13C4667670BA}"/>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954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526</xdr:row>
      <xdr:rowOff>0</xdr:rowOff>
    </xdr:from>
    <xdr:to>
      <xdr:col>0</xdr:col>
      <xdr:colOff>152400</xdr:colOff>
      <xdr:row>526</xdr:row>
      <xdr:rowOff>133350</xdr:rowOff>
    </xdr:to>
    <xdr:pic>
      <xdr:nvPicPr>
        <xdr:cNvPr id="570" name="Picture 557">
          <a:extLst>
            <a:ext uri="{FF2B5EF4-FFF2-40B4-BE49-F238E27FC236}">
              <a16:creationId xmlns:a16="http://schemas.microsoft.com/office/drawing/2014/main" id="{B27BA8E9-35B6-45BA-980A-96794202A56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73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527</xdr:row>
      <xdr:rowOff>0</xdr:rowOff>
    </xdr:from>
    <xdr:to>
      <xdr:col>0</xdr:col>
      <xdr:colOff>152400</xdr:colOff>
      <xdr:row>527</xdr:row>
      <xdr:rowOff>133350</xdr:rowOff>
    </xdr:to>
    <xdr:pic>
      <xdr:nvPicPr>
        <xdr:cNvPr id="571" name="Picture 556">
          <a:extLst>
            <a:ext uri="{FF2B5EF4-FFF2-40B4-BE49-F238E27FC236}">
              <a16:creationId xmlns:a16="http://schemas.microsoft.com/office/drawing/2014/main" id="{A58EEE1F-A915-4779-BD39-7FFE12A1D5A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192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528</xdr:row>
      <xdr:rowOff>0</xdr:rowOff>
    </xdr:from>
    <xdr:to>
      <xdr:col>0</xdr:col>
      <xdr:colOff>152400</xdr:colOff>
      <xdr:row>528</xdr:row>
      <xdr:rowOff>133350</xdr:rowOff>
    </xdr:to>
    <xdr:pic>
      <xdr:nvPicPr>
        <xdr:cNvPr id="572" name="Picture 555">
          <a:extLst>
            <a:ext uri="{FF2B5EF4-FFF2-40B4-BE49-F238E27FC236}">
              <a16:creationId xmlns:a16="http://schemas.microsoft.com/office/drawing/2014/main" id="{24208BD6-A986-4F45-B904-14FA34D1E9E7}"/>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811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529</xdr:row>
      <xdr:rowOff>0</xdr:rowOff>
    </xdr:from>
    <xdr:to>
      <xdr:col>0</xdr:col>
      <xdr:colOff>152400</xdr:colOff>
      <xdr:row>529</xdr:row>
      <xdr:rowOff>133350</xdr:rowOff>
    </xdr:to>
    <xdr:pic>
      <xdr:nvPicPr>
        <xdr:cNvPr id="573" name="Picture 554">
          <a:extLst>
            <a:ext uri="{FF2B5EF4-FFF2-40B4-BE49-F238E27FC236}">
              <a16:creationId xmlns:a16="http://schemas.microsoft.com/office/drawing/2014/main" id="{7C705C8A-2F9A-4251-8A59-6407B122B6F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431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530</xdr:row>
      <xdr:rowOff>0</xdr:rowOff>
    </xdr:from>
    <xdr:to>
      <xdr:col>0</xdr:col>
      <xdr:colOff>152400</xdr:colOff>
      <xdr:row>530</xdr:row>
      <xdr:rowOff>133350</xdr:rowOff>
    </xdr:to>
    <xdr:pic>
      <xdr:nvPicPr>
        <xdr:cNvPr id="574" name="Picture 553">
          <a:extLst>
            <a:ext uri="{FF2B5EF4-FFF2-40B4-BE49-F238E27FC236}">
              <a16:creationId xmlns:a16="http://schemas.microsoft.com/office/drawing/2014/main" id="{0ABCF40F-3B25-4EF4-BB6B-2E672A20FAC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050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531</xdr:row>
      <xdr:rowOff>0</xdr:rowOff>
    </xdr:from>
    <xdr:to>
      <xdr:col>0</xdr:col>
      <xdr:colOff>152400</xdr:colOff>
      <xdr:row>531</xdr:row>
      <xdr:rowOff>133350</xdr:rowOff>
    </xdr:to>
    <xdr:pic>
      <xdr:nvPicPr>
        <xdr:cNvPr id="575" name="Picture 552">
          <a:extLst>
            <a:ext uri="{FF2B5EF4-FFF2-40B4-BE49-F238E27FC236}">
              <a16:creationId xmlns:a16="http://schemas.microsoft.com/office/drawing/2014/main" id="{F9882DEB-0C5D-4EC2-AE5B-21714D4F898C}"/>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669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532</xdr:row>
      <xdr:rowOff>0</xdr:rowOff>
    </xdr:from>
    <xdr:to>
      <xdr:col>0</xdr:col>
      <xdr:colOff>152400</xdr:colOff>
      <xdr:row>532</xdr:row>
      <xdr:rowOff>133350</xdr:rowOff>
    </xdr:to>
    <xdr:pic>
      <xdr:nvPicPr>
        <xdr:cNvPr id="576" name="Picture 551">
          <a:extLst>
            <a:ext uri="{FF2B5EF4-FFF2-40B4-BE49-F238E27FC236}">
              <a16:creationId xmlns:a16="http://schemas.microsoft.com/office/drawing/2014/main" id="{B883E7C6-6DF9-4E70-AD41-6022B5096367}"/>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4288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533</xdr:row>
      <xdr:rowOff>0</xdr:rowOff>
    </xdr:from>
    <xdr:to>
      <xdr:col>0</xdr:col>
      <xdr:colOff>152400</xdr:colOff>
      <xdr:row>533</xdr:row>
      <xdr:rowOff>133350</xdr:rowOff>
    </xdr:to>
    <xdr:pic>
      <xdr:nvPicPr>
        <xdr:cNvPr id="577" name="Picture 550">
          <a:extLst>
            <a:ext uri="{FF2B5EF4-FFF2-40B4-BE49-F238E27FC236}">
              <a16:creationId xmlns:a16="http://schemas.microsoft.com/office/drawing/2014/main" id="{7B491145-D015-40B0-BEBF-EE234F7C132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908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534</xdr:row>
      <xdr:rowOff>0</xdr:rowOff>
    </xdr:from>
    <xdr:to>
      <xdr:col>0</xdr:col>
      <xdr:colOff>152400</xdr:colOff>
      <xdr:row>534</xdr:row>
      <xdr:rowOff>133350</xdr:rowOff>
    </xdr:to>
    <xdr:pic>
      <xdr:nvPicPr>
        <xdr:cNvPr id="578" name="Picture 549">
          <a:extLst>
            <a:ext uri="{FF2B5EF4-FFF2-40B4-BE49-F238E27FC236}">
              <a16:creationId xmlns:a16="http://schemas.microsoft.com/office/drawing/2014/main" id="{EA92D3A6-A3FF-4B6B-ACC7-358526961DF3}"/>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527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535</xdr:row>
      <xdr:rowOff>0</xdr:rowOff>
    </xdr:from>
    <xdr:to>
      <xdr:col>0</xdr:col>
      <xdr:colOff>152400</xdr:colOff>
      <xdr:row>535</xdr:row>
      <xdr:rowOff>133350</xdr:rowOff>
    </xdr:to>
    <xdr:pic>
      <xdr:nvPicPr>
        <xdr:cNvPr id="579" name="Picture 548">
          <a:extLst>
            <a:ext uri="{FF2B5EF4-FFF2-40B4-BE49-F238E27FC236}">
              <a16:creationId xmlns:a16="http://schemas.microsoft.com/office/drawing/2014/main" id="{078F944B-ACF0-4D15-81D5-A7B1AA59D6C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146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536</xdr:row>
      <xdr:rowOff>0</xdr:rowOff>
    </xdr:from>
    <xdr:to>
      <xdr:col>0</xdr:col>
      <xdr:colOff>152400</xdr:colOff>
      <xdr:row>536</xdr:row>
      <xdr:rowOff>133350</xdr:rowOff>
    </xdr:to>
    <xdr:pic>
      <xdr:nvPicPr>
        <xdr:cNvPr id="580" name="Picture 547">
          <a:extLst>
            <a:ext uri="{FF2B5EF4-FFF2-40B4-BE49-F238E27FC236}">
              <a16:creationId xmlns:a16="http://schemas.microsoft.com/office/drawing/2014/main" id="{1DF90743-7341-4ED4-AD18-07CA761FCE6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765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537</xdr:row>
      <xdr:rowOff>0</xdr:rowOff>
    </xdr:from>
    <xdr:to>
      <xdr:col>0</xdr:col>
      <xdr:colOff>152400</xdr:colOff>
      <xdr:row>537</xdr:row>
      <xdr:rowOff>133350</xdr:rowOff>
    </xdr:to>
    <xdr:pic>
      <xdr:nvPicPr>
        <xdr:cNvPr id="581" name="Picture 546">
          <a:extLst>
            <a:ext uri="{FF2B5EF4-FFF2-40B4-BE49-F238E27FC236}">
              <a16:creationId xmlns:a16="http://schemas.microsoft.com/office/drawing/2014/main" id="{FFD28A9E-7CEE-4654-9773-50DFF7F86A05}"/>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2385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538</xdr:row>
      <xdr:rowOff>0</xdr:rowOff>
    </xdr:from>
    <xdr:to>
      <xdr:col>0</xdr:col>
      <xdr:colOff>152400</xdr:colOff>
      <xdr:row>538</xdr:row>
      <xdr:rowOff>133350</xdr:rowOff>
    </xdr:to>
    <xdr:pic>
      <xdr:nvPicPr>
        <xdr:cNvPr id="582" name="Picture 545">
          <a:extLst>
            <a:ext uri="{FF2B5EF4-FFF2-40B4-BE49-F238E27FC236}">
              <a16:creationId xmlns:a16="http://schemas.microsoft.com/office/drawing/2014/main" id="{33078CDF-1F01-4B5B-AFCB-552C92B3577A}"/>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004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539</xdr:row>
      <xdr:rowOff>0</xdr:rowOff>
    </xdr:from>
    <xdr:to>
      <xdr:col>0</xdr:col>
      <xdr:colOff>152400</xdr:colOff>
      <xdr:row>539</xdr:row>
      <xdr:rowOff>133350</xdr:rowOff>
    </xdr:to>
    <xdr:pic>
      <xdr:nvPicPr>
        <xdr:cNvPr id="583" name="Picture 544">
          <a:extLst>
            <a:ext uri="{FF2B5EF4-FFF2-40B4-BE49-F238E27FC236}">
              <a16:creationId xmlns:a16="http://schemas.microsoft.com/office/drawing/2014/main" id="{8B41721A-F9FC-4BFB-91EF-034B9C5203E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5623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540</xdr:row>
      <xdr:rowOff>0</xdr:rowOff>
    </xdr:from>
    <xdr:to>
      <xdr:col>0</xdr:col>
      <xdr:colOff>152400</xdr:colOff>
      <xdr:row>540</xdr:row>
      <xdr:rowOff>133350</xdr:rowOff>
    </xdr:to>
    <xdr:pic>
      <xdr:nvPicPr>
        <xdr:cNvPr id="584" name="Picture 543">
          <a:extLst>
            <a:ext uri="{FF2B5EF4-FFF2-40B4-BE49-F238E27FC236}">
              <a16:creationId xmlns:a16="http://schemas.microsoft.com/office/drawing/2014/main" id="{8A53561E-6264-451B-A347-0FD540CBEF98}"/>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7242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541</xdr:row>
      <xdr:rowOff>0</xdr:rowOff>
    </xdr:from>
    <xdr:to>
      <xdr:col>0</xdr:col>
      <xdr:colOff>152400</xdr:colOff>
      <xdr:row>541</xdr:row>
      <xdr:rowOff>133350</xdr:rowOff>
    </xdr:to>
    <xdr:pic>
      <xdr:nvPicPr>
        <xdr:cNvPr id="585" name="Picture 542">
          <a:extLst>
            <a:ext uri="{FF2B5EF4-FFF2-40B4-BE49-F238E27FC236}">
              <a16:creationId xmlns:a16="http://schemas.microsoft.com/office/drawing/2014/main" id="{1E0133DE-F244-4597-AC2F-75ABB37E723B}"/>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862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542</xdr:row>
      <xdr:rowOff>0</xdr:rowOff>
    </xdr:from>
    <xdr:to>
      <xdr:col>0</xdr:col>
      <xdr:colOff>152400</xdr:colOff>
      <xdr:row>542</xdr:row>
      <xdr:rowOff>133350</xdr:rowOff>
    </xdr:to>
    <xdr:pic>
      <xdr:nvPicPr>
        <xdr:cNvPr id="586" name="Picture 541">
          <a:extLst>
            <a:ext uri="{FF2B5EF4-FFF2-40B4-BE49-F238E27FC236}">
              <a16:creationId xmlns:a16="http://schemas.microsoft.com/office/drawing/2014/main" id="{B298ED7E-4065-4B97-AECA-42571D17382A}"/>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481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543</xdr:row>
      <xdr:rowOff>0</xdr:rowOff>
    </xdr:from>
    <xdr:to>
      <xdr:col>0</xdr:col>
      <xdr:colOff>152400</xdr:colOff>
      <xdr:row>543</xdr:row>
      <xdr:rowOff>133350</xdr:rowOff>
    </xdr:to>
    <xdr:pic>
      <xdr:nvPicPr>
        <xdr:cNvPr id="587" name="Picture 540">
          <a:extLst>
            <a:ext uri="{FF2B5EF4-FFF2-40B4-BE49-F238E27FC236}">
              <a16:creationId xmlns:a16="http://schemas.microsoft.com/office/drawing/2014/main" id="{E0D299C4-7DE5-4EEF-A57F-5104888325A5}"/>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2100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544</xdr:row>
      <xdr:rowOff>0</xdr:rowOff>
    </xdr:from>
    <xdr:to>
      <xdr:col>0</xdr:col>
      <xdr:colOff>152400</xdr:colOff>
      <xdr:row>544</xdr:row>
      <xdr:rowOff>133350</xdr:rowOff>
    </xdr:to>
    <xdr:pic>
      <xdr:nvPicPr>
        <xdr:cNvPr id="588" name="Picture 535">
          <a:extLst>
            <a:ext uri="{FF2B5EF4-FFF2-40B4-BE49-F238E27FC236}">
              <a16:creationId xmlns:a16="http://schemas.microsoft.com/office/drawing/2014/main" id="{50B5AA55-24E5-495C-AE22-04C503AFBF8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3719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545</xdr:row>
      <xdr:rowOff>0</xdr:rowOff>
    </xdr:from>
    <xdr:to>
      <xdr:col>0</xdr:col>
      <xdr:colOff>152400</xdr:colOff>
      <xdr:row>545</xdr:row>
      <xdr:rowOff>133350</xdr:rowOff>
    </xdr:to>
    <xdr:pic>
      <xdr:nvPicPr>
        <xdr:cNvPr id="589" name="Picture 534">
          <a:extLst>
            <a:ext uri="{FF2B5EF4-FFF2-40B4-BE49-F238E27FC236}">
              <a16:creationId xmlns:a16="http://schemas.microsoft.com/office/drawing/2014/main" id="{FF681D51-E68C-4B17-9069-95FC2B8628BA}"/>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339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546</xdr:row>
      <xdr:rowOff>0</xdr:rowOff>
    </xdr:from>
    <xdr:to>
      <xdr:col>0</xdr:col>
      <xdr:colOff>152400</xdr:colOff>
      <xdr:row>546</xdr:row>
      <xdr:rowOff>133350</xdr:rowOff>
    </xdr:to>
    <xdr:pic>
      <xdr:nvPicPr>
        <xdr:cNvPr id="590" name="Picture 533">
          <a:extLst>
            <a:ext uri="{FF2B5EF4-FFF2-40B4-BE49-F238E27FC236}">
              <a16:creationId xmlns:a16="http://schemas.microsoft.com/office/drawing/2014/main" id="{7904F371-1D4D-44E7-A410-B4AA34B9BBC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6958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547</xdr:row>
      <xdr:rowOff>0</xdr:rowOff>
    </xdr:from>
    <xdr:to>
      <xdr:col>0</xdr:col>
      <xdr:colOff>152400</xdr:colOff>
      <xdr:row>547</xdr:row>
      <xdr:rowOff>133350</xdr:rowOff>
    </xdr:to>
    <xdr:pic>
      <xdr:nvPicPr>
        <xdr:cNvPr id="591" name="Picture 532">
          <a:extLst>
            <a:ext uri="{FF2B5EF4-FFF2-40B4-BE49-F238E27FC236}">
              <a16:creationId xmlns:a16="http://schemas.microsoft.com/office/drawing/2014/main" id="{FBF562B8-564B-4250-BD90-5884671CCE4A}"/>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85775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548</xdr:row>
      <xdr:rowOff>0</xdr:rowOff>
    </xdr:from>
    <xdr:to>
      <xdr:col>0</xdr:col>
      <xdr:colOff>152400</xdr:colOff>
      <xdr:row>548</xdr:row>
      <xdr:rowOff>133350</xdr:rowOff>
    </xdr:to>
    <xdr:pic>
      <xdr:nvPicPr>
        <xdr:cNvPr id="592" name="Picture 531">
          <a:extLst>
            <a:ext uri="{FF2B5EF4-FFF2-40B4-BE49-F238E27FC236}">
              <a16:creationId xmlns:a16="http://schemas.microsoft.com/office/drawing/2014/main" id="{E1B39DDA-5A21-4A53-BEC2-59ABB40CB54D}"/>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1967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549</xdr:row>
      <xdr:rowOff>0</xdr:rowOff>
    </xdr:from>
    <xdr:to>
      <xdr:col>0</xdr:col>
      <xdr:colOff>152400</xdr:colOff>
      <xdr:row>549</xdr:row>
      <xdr:rowOff>133350</xdr:rowOff>
    </xdr:to>
    <xdr:pic>
      <xdr:nvPicPr>
        <xdr:cNvPr id="593" name="Picture 530">
          <a:extLst>
            <a:ext uri="{FF2B5EF4-FFF2-40B4-BE49-F238E27FC236}">
              <a16:creationId xmlns:a16="http://schemas.microsoft.com/office/drawing/2014/main" id="{B011C539-668D-4019-8745-18C640443597}"/>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81600"/>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550</xdr:row>
      <xdr:rowOff>0</xdr:rowOff>
    </xdr:from>
    <xdr:to>
      <xdr:col>0</xdr:col>
      <xdr:colOff>152400</xdr:colOff>
      <xdr:row>550</xdr:row>
      <xdr:rowOff>133350</xdr:rowOff>
    </xdr:to>
    <xdr:pic>
      <xdr:nvPicPr>
        <xdr:cNvPr id="594" name="Picture 529">
          <a:extLst>
            <a:ext uri="{FF2B5EF4-FFF2-40B4-BE49-F238E27FC236}">
              <a16:creationId xmlns:a16="http://schemas.microsoft.com/office/drawing/2014/main" id="{F9826D47-F0F0-4F34-B319-B796BB6A6F6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43525"/>
          <a:ext cx="152400" cy="133350"/>
        </a:xfrm>
        <a:prstGeom prst="rect">
          <a:avLst/>
        </a:prstGeom>
        <a:solidFill>
          <a:srgbClr val="FFFFFF"/>
        </a:solidFill>
        <a:ln w="9525">
          <a:solidFill>
            <a:srgbClr val="000000"/>
          </a:solidFill>
          <a:round/>
          <a:headEnd/>
          <a:tailEnd/>
        </a:ln>
      </xdr:spPr>
    </xdr:pic>
    <xdr:clientData/>
  </xdr:twoCellAnchor>
  <xdr:twoCellAnchor>
    <xdr:from>
      <xdr:col>0</xdr:col>
      <xdr:colOff>0</xdr:colOff>
      <xdr:row>551</xdr:row>
      <xdr:rowOff>0</xdr:rowOff>
    </xdr:from>
    <xdr:to>
      <xdr:col>0</xdr:col>
      <xdr:colOff>152400</xdr:colOff>
      <xdr:row>551</xdr:row>
      <xdr:rowOff>133350</xdr:rowOff>
    </xdr:to>
    <xdr:pic>
      <xdr:nvPicPr>
        <xdr:cNvPr id="595" name="Picture 528">
          <a:extLst>
            <a:ext uri="{FF2B5EF4-FFF2-40B4-BE49-F238E27FC236}">
              <a16:creationId xmlns:a16="http://schemas.microsoft.com/office/drawing/2014/main" id="{6EF325A8-5882-47A0-852E-F8BE06C39885}"/>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505450"/>
          <a:ext cx="152400" cy="133350"/>
        </a:xfrm>
        <a:prstGeom prst="rect">
          <a:avLst/>
        </a:prstGeom>
        <a:solidFill>
          <a:srgbClr val="FFFFFF"/>
        </a:solidFill>
        <a:ln w="9525">
          <a:solidFill>
            <a:srgbClr val="000000"/>
          </a:solidFill>
          <a:round/>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2:F144"/>
  <sheetViews>
    <sheetView workbookViewId="0">
      <selection activeCell="C2" sqref="C2"/>
    </sheetView>
  </sheetViews>
  <sheetFormatPr baseColWidth="10" defaultRowHeight="15" x14ac:dyDescent="0.25"/>
  <cols>
    <col min="3" max="3" width="18.42578125" customWidth="1"/>
    <col min="5" max="5" width="14.5703125" bestFit="1" customWidth="1"/>
    <col min="6" max="6" width="17.7109375" customWidth="1"/>
  </cols>
  <sheetData>
    <row r="2" spans="3:6" x14ac:dyDescent="0.25">
      <c r="C2">
        <v>890680025</v>
      </c>
    </row>
    <row r="4" spans="3:6" x14ac:dyDescent="0.25">
      <c r="C4" s="1" t="s">
        <v>0</v>
      </c>
      <c r="D4" s="1" t="s">
        <v>3</v>
      </c>
      <c r="E4" s="1" t="s">
        <v>1</v>
      </c>
      <c r="F4" s="1" t="s">
        <v>2</v>
      </c>
    </row>
    <row r="5" spans="3:6" x14ac:dyDescent="0.25">
      <c r="C5" s="1" t="str">
        <f>"HSRF0013791092"</f>
        <v>HSRF0013791092</v>
      </c>
      <c r="D5" s="2">
        <v>43449</v>
      </c>
      <c r="E5" s="3">
        <v>950088</v>
      </c>
      <c r="F5" s="3">
        <v>78800</v>
      </c>
    </row>
    <row r="6" spans="3:6" x14ac:dyDescent="0.25">
      <c r="C6" s="1" t="str">
        <f>"HSRF0013804350"</f>
        <v>HSRF0013804350</v>
      </c>
      <c r="D6" s="2">
        <v>43467</v>
      </c>
      <c r="E6" s="3">
        <v>59212</v>
      </c>
      <c r="F6" s="3">
        <v>59212</v>
      </c>
    </row>
    <row r="7" spans="3:6" x14ac:dyDescent="0.25">
      <c r="C7" s="1" t="str">
        <f>"HSRF0013827137"</f>
        <v>HSRF0013827137</v>
      </c>
      <c r="D7" s="2">
        <v>43494</v>
      </c>
      <c r="E7" s="3">
        <v>1006880</v>
      </c>
      <c r="F7" s="3">
        <v>1006880</v>
      </c>
    </row>
    <row r="8" spans="3:6" x14ac:dyDescent="0.25">
      <c r="C8" s="1" t="str">
        <f>"HSRF0013842922"</f>
        <v>HSRF0013842922</v>
      </c>
      <c r="D8" s="2">
        <v>43510</v>
      </c>
      <c r="E8" s="3">
        <v>54400</v>
      </c>
      <c r="F8" s="3">
        <v>33100</v>
      </c>
    </row>
    <row r="9" spans="3:6" x14ac:dyDescent="0.25">
      <c r="C9" s="1" t="str">
        <f>"HSRF0013868871"</f>
        <v>HSRF0013868871</v>
      </c>
      <c r="D9" s="2">
        <v>43536</v>
      </c>
      <c r="E9" s="3">
        <v>597300</v>
      </c>
      <c r="F9" s="3">
        <v>169569.3</v>
      </c>
    </row>
    <row r="10" spans="3:6" x14ac:dyDescent="0.25">
      <c r="C10" s="1" t="str">
        <f>"HSRF0013870182"</f>
        <v>HSRF0013870182</v>
      </c>
      <c r="D10" s="2">
        <v>43537</v>
      </c>
      <c r="E10" s="3">
        <v>576975</v>
      </c>
      <c r="F10" s="3">
        <v>138159</v>
      </c>
    </row>
    <row r="11" spans="3:6" x14ac:dyDescent="0.25">
      <c r="C11" s="1" t="str">
        <f>"HSRF0013888877"</f>
        <v>HSRF0013888877</v>
      </c>
      <c r="D11" s="2">
        <v>43554</v>
      </c>
      <c r="E11" s="3">
        <v>2314280</v>
      </c>
      <c r="F11" s="3">
        <v>385872</v>
      </c>
    </row>
    <row r="12" spans="3:6" x14ac:dyDescent="0.25">
      <c r="C12" s="1" t="str">
        <f>"HSRF0013908407"</f>
        <v>HSRF0013908407</v>
      </c>
      <c r="D12" s="2">
        <v>43571</v>
      </c>
      <c r="E12" s="3">
        <v>253179</v>
      </c>
      <c r="F12" s="3">
        <v>253179</v>
      </c>
    </row>
    <row r="13" spans="3:6" x14ac:dyDescent="0.25">
      <c r="C13" s="1" t="str">
        <f>"HSRF0013917101"</f>
        <v>HSRF0013917101</v>
      </c>
      <c r="D13" s="2">
        <v>43580</v>
      </c>
      <c r="E13" s="3">
        <v>726708</v>
      </c>
      <c r="F13" s="3">
        <v>726708</v>
      </c>
    </row>
    <row r="14" spans="3:6" x14ac:dyDescent="0.25">
      <c r="C14" s="1" t="str">
        <f>"HSRF0013919396"</f>
        <v>HSRF0013919396</v>
      </c>
      <c r="D14" s="2">
        <v>43582</v>
      </c>
      <c r="E14" s="3">
        <v>59366</v>
      </c>
      <c r="F14" s="3">
        <v>59366</v>
      </c>
    </row>
    <row r="15" spans="3:6" x14ac:dyDescent="0.25">
      <c r="C15" s="1" t="str">
        <f>"HSRF0013919432"</f>
        <v>HSRF0013919432</v>
      </c>
      <c r="D15" s="2">
        <v>43582</v>
      </c>
      <c r="E15" s="3">
        <v>134864</v>
      </c>
      <c r="F15" s="3">
        <v>134864</v>
      </c>
    </row>
    <row r="16" spans="3:6" x14ac:dyDescent="0.25">
      <c r="C16" s="1" t="str">
        <f>"HSRF0013956581"</f>
        <v>HSRF0013956581</v>
      </c>
      <c r="D16" s="2">
        <v>43613</v>
      </c>
      <c r="E16" s="3">
        <v>168084</v>
      </c>
      <c r="F16" s="3">
        <v>168084</v>
      </c>
    </row>
    <row r="17" spans="3:6" x14ac:dyDescent="0.25">
      <c r="C17" s="1" t="str">
        <f>"HSRF0013962507"</f>
        <v>HSRF0013962507</v>
      </c>
      <c r="D17" s="2">
        <v>43616</v>
      </c>
      <c r="E17" s="3">
        <v>108666</v>
      </c>
      <c r="F17" s="3">
        <v>108666</v>
      </c>
    </row>
    <row r="18" spans="3:6" x14ac:dyDescent="0.25">
      <c r="C18" s="1" t="str">
        <f>"HSRF0013964124"</f>
        <v>HSRF0013964124</v>
      </c>
      <c r="D18" s="2">
        <v>43620</v>
      </c>
      <c r="E18" s="3">
        <v>54871</v>
      </c>
      <c r="F18" s="3">
        <v>54871</v>
      </c>
    </row>
    <row r="19" spans="3:6" x14ac:dyDescent="0.25">
      <c r="C19" s="1" t="str">
        <f>"HSRF0013985748"</f>
        <v>HSRF0013985748</v>
      </c>
      <c r="D19" s="2">
        <v>43637</v>
      </c>
      <c r="E19" s="3">
        <v>285100</v>
      </c>
      <c r="F19" s="3">
        <v>79200</v>
      </c>
    </row>
    <row r="20" spans="3:6" x14ac:dyDescent="0.25">
      <c r="C20" s="1" t="str">
        <f>"HSRF0013987467"</f>
        <v>HSRF0013987467</v>
      </c>
      <c r="D20" s="2">
        <v>43640</v>
      </c>
      <c r="E20" s="3">
        <v>136303</v>
      </c>
      <c r="F20" s="3">
        <v>136303</v>
      </c>
    </row>
    <row r="21" spans="3:6" x14ac:dyDescent="0.25">
      <c r="C21" s="1" t="str">
        <f>"HSRF0013992344"</f>
        <v>HSRF0013992344</v>
      </c>
      <c r="D21" s="2">
        <v>43643</v>
      </c>
      <c r="E21" s="3">
        <v>1430415</v>
      </c>
      <c r="F21" s="3">
        <v>1430415</v>
      </c>
    </row>
    <row r="22" spans="3:6" x14ac:dyDescent="0.25">
      <c r="C22" s="1" t="str">
        <f>"HSRF0013996573"</f>
        <v>HSRF0013996573</v>
      </c>
      <c r="D22" s="2">
        <v>43649</v>
      </c>
      <c r="E22" s="3">
        <v>195948</v>
      </c>
      <c r="F22" s="3">
        <v>195948</v>
      </c>
    </row>
    <row r="23" spans="3:6" x14ac:dyDescent="0.25">
      <c r="C23" s="1" t="str">
        <f>"HSRF0014000927"</f>
        <v>HSRF0014000927</v>
      </c>
      <c r="D23" s="2">
        <v>43652</v>
      </c>
      <c r="E23" s="3">
        <v>148584</v>
      </c>
      <c r="F23" s="3">
        <v>148584</v>
      </c>
    </row>
    <row r="24" spans="3:6" x14ac:dyDescent="0.25">
      <c r="C24" s="1" t="str">
        <f>"HSRF0014003145"</f>
        <v>HSRF0014003145</v>
      </c>
      <c r="D24" s="2">
        <v>43655</v>
      </c>
      <c r="E24" s="3">
        <v>238922</v>
      </c>
      <c r="F24" s="3">
        <v>238922</v>
      </c>
    </row>
    <row r="25" spans="3:6" x14ac:dyDescent="0.25">
      <c r="C25" s="1" t="str">
        <f>"HSRF0014010076"</f>
        <v>HSRF0014010076</v>
      </c>
      <c r="D25" s="2">
        <v>43661</v>
      </c>
      <c r="E25" s="3">
        <v>402981</v>
      </c>
      <c r="F25" s="3">
        <v>227751</v>
      </c>
    </row>
    <row r="26" spans="3:6" x14ac:dyDescent="0.25">
      <c r="C26" s="1" t="str">
        <f>"HSRF0014011373"</f>
        <v>HSRF0014011373</v>
      </c>
      <c r="D26" s="2">
        <v>43662</v>
      </c>
      <c r="E26" s="3">
        <v>123630</v>
      </c>
      <c r="F26" s="3">
        <v>123630</v>
      </c>
    </row>
    <row r="27" spans="3:6" x14ac:dyDescent="0.25">
      <c r="C27" s="1" t="str">
        <f>"HSRF0014017815"</f>
        <v>HSRF0014017815</v>
      </c>
      <c r="D27" s="2">
        <v>43669</v>
      </c>
      <c r="E27" s="3">
        <v>870400</v>
      </c>
      <c r="F27" s="3">
        <v>870400</v>
      </c>
    </row>
    <row r="28" spans="3:6" x14ac:dyDescent="0.25">
      <c r="C28" s="1" t="str">
        <f>"HSRF0014032583"</f>
        <v>HSRF0014032583</v>
      </c>
      <c r="D28" s="2">
        <v>43679</v>
      </c>
      <c r="E28" s="3">
        <v>54400</v>
      </c>
      <c r="F28" s="3">
        <v>54400</v>
      </c>
    </row>
    <row r="29" spans="3:6" x14ac:dyDescent="0.25">
      <c r="C29" s="1" t="str">
        <f>"HSRF0014033382"</f>
        <v>HSRF0014033382</v>
      </c>
      <c r="D29" s="2">
        <v>43682</v>
      </c>
      <c r="E29" s="3">
        <v>54400</v>
      </c>
      <c r="F29" s="3">
        <v>24259</v>
      </c>
    </row>
    <row r="30" spans="3:6" x14ac:dyDescent="0.25">
      <c r="C30" s="1" t="str">
        <f>"HSRF0014035526"</f>
        <v>HSRF0014035526</v>
      </c>
      <c r="D30" s="2">
        <v>43683</v>
      </c>
      <c r="E30" s="3">
        <v>47800</v>
      </c>
      <c r="F30" s="3">
        <v>47800</v>
      </c>
    </row>
    <row r="31" spans="3:6" x14ac:dyDescent="0.25">
      <c r="C31" s="1" t="str">
        <f>"HSRF0014039063"</f>
        <v>HSRF0014039063</v>
      </c>
      <c r="D31" s="2">
        <v>43687</v>
      </c>
      <c r="E31" s="3">
        <v>140419</v>
      </c>
      <c r="F31" s="3">
        <v>140419</v>
      </c>
    </row>
    <row r="32" spans="3:6" x14ac:dyDescent="0.25">
      <c r="C32" s="1" t="str">
        <f>"HSRF0014043994"</f>
        <v>HSRF0014043994</v>
      </c>
      <c r="D32" s="2">
        <v>43692</v>
      </c>
      <c r="E32" s="3">
        <v>203483</v>
      </c>
      <c r="F32" s="3">
        <v>203483</v>
      </c>
    </row>
    <row r="33" spans="3:6" x14ac:dyDescent="0.25">
      <c r="C33" s="1" t="str">
        <f>"HSRF0014049496"</f>
        <v>HSRF0014049496</v>
      </c>
      <c r="D33" s="2">
        <v>43698</v>
      </c>
      <c r="E33" s="3">
        <v>54400</v>
      </c>
      <c r="F33" s="3">
        <v>54400</v>
      </c>
    </row>
    <row r="34" spans="3:6" x14ac:dyDescent="0.25">
      <c r="C34" s="1" t="str">
        <f>"HSRF0014053032"</f>
        <v>HSRF0014053032</v>
      </c>
      <c r="D34" s="2">
        <v>43700</v>
      </c>
      <c r="E34" s="3">
        <v>54779</v>
      </c>
      <c r="F34" s="3">
        <v>54779</v>
      </c>
    </row>
    <row r="35" spans="3:6" x14ac:dyDescent="0.25">
      <c r="C35" s="1" t="str">
        <f>"HSRF0014051741"</f>
        <v>HSRF0014051741</v>
      </c>
      <c r="D35" s="2">
        <v>43700</v>
      </c>
      <c r="E35" s="3">
        <v>440835</v>
      </c>
      <c r="F35" s="3">
        <v>440835</v>
      </c>
    </row>
    <row r="36" spans="3:6" x14ac:dyDescent="0.25">
      <c r="C36" s="1" t="str">
        <f>"HSRF0014055418"</f>
        <v>HSRF0014055418</v>
      </c>
      <c r="D36" s="2">
        <v>43703</v>
      </c>
      <c r="E36" s="3">
        <v>68675</v>
      </c>
      <c r="F36" s="3">
        <v>68675</v>
      </c>
    </row>
    <row r="37" spans="3:6" x14ac:dyDescent="0.25">
      <c r="C37" s="1" t="str">
        <f>"HSRF0014056365"</f>
        <v>HSRF0014056365</v>
      </c>
      <c r="D37" s="2">
        <v>43704</v>
      </c>
      <c r="E37" s="3">
        <v>33200</v>
      </c>
      <c r="F37" s="3">
        <v>33200</v>
      </c>
    </row>
    <row r="38" spans="3:6" x14ac:dyDescent="0.25">
      <c r="C38" s="1" t="str">
        <f>"HSRF0014059388"</f>
        <v>HSRF0014059388</v>
      </c>
      <c r="D38" s="2">
        <v>43706</v>
      </c>
      <c r="E38" s="3">
        <v>184213</v>
      </c>
      <c r="F38" s="3">
        <v>55098</v>
      </c>
    </row>
    <row r="39" spans="3:6" x14ac:dyDescent="0.25">
      <c r="C39" s="1" t="str">
        <f>"HSRF0014060446"</f>
        <v>HSRF0014060446</v>
      </c>
      <c r="D39" s="2">
        <v>43707</v>
      </c>
      <c r="E39" s="3">
        <v>47800</v>
      </c>
      <c r="F39" s="3">
        <v>47800</v>
      </c>
    </row>
    <row r="40" spans="3:6" x14ac:dyDescent="0.25">
      <c r="C40" s="1" t="str">
        <f>"HSRF0014060526"</f>
        <v>HSRF0014060526</v>
      </c>
      <c r="D40" s="2">
        <v>43707</v>
      </c>
      <c r="E40" s="3">
        <v>780300</v>
      </c>
      <c r="F40" s="3">
        <v>780300</v>
      </c>
    </row>
    <row r="41" spans="3:6" x14ac:dyDescent="0.25">
      <c r="C41" s="1" t="str">
        <f>"HSRF0014060511"</f>
        <v>HSRF0014060511</v>
      </c>
      <c r="D41" s="2">
        <v>43707</v>
      </c>
      <c r="E41" s="3">
        <v>2482749</v>
      </c>
      <c r="F41" s="3">
        <v>2482749</v>
      </c>
    </row>
    <row r="42" spans="3:6" x14ac:dyDescent="0.25">
      <c r="C42" s="1" t="str">
        <f>"HSRF0014061332"</f>
        <v>HSRF0014061332</v>
      </c>
      <c r="D42" s="2">
        <v>43708</v>
      </c>
      <c r="E42" s="3">
        <v>47800</v>
      </c>
      <c r="F42" s="3">
        <v>47800</v>
      </c>
    </row>
    <row r="43" spans="3:6" x14ac:dyDescent="0.25">
      <c r="C43" s="1" t="str">
        <f>"HSRF0014061732"</f>
        <v>HSRF0014061732</v>
      </c>
      <c r="D43" s="2">
        <v>43708</v>
      </c>
      <c r="E43" s="3">
        <v>1217943</v>
      </c>
      <c r="F43" s="3">
        <v>1036073</v>
      </c>
    </row>
    <row r="44" spans="3:6" x14ac:dyDescent="0.25">
      <c r="C44" s="1" t="str">
        <f>"HSRF0014071101"</f>
        <v>HSRF0014071101</v>
      </c>
      <c r="D44" s="2">
        <v>43718</v>
      </c>
      <c r="E44" s="3">
        <v>543210</v>
      </c>
      <c r="F44" s="3">
        <v>543210</v>
      </c>
    </row>
    <row r="45" spans="3:6" x14ac:dyDescent="0.25">
      <c r="C45" s="1" t="str">
        <f>"HSRF0014071197"</f>
        <v>HSRF0014071197</v>
      </c>
      <c r="D45" s="2">
        <v>43719</v>
      </c>
      <c r="E45" s="3">
        <v>152600</v>
      </c>
      <c r="F45" s="3">
        <v>152600</v>
      </c>
    </row>
    <row r="46" spans="3:6" x14ac:dyDescent="0.25">
      <c r="C46" s="1" t="str">
        <f>"HSRF0014075544"</f>
        <v>HSRF0014075544</v>
      </c>
      <c r="D46" s="2">
        <v>43722</v>
      </c>
      <c r="E46" s="3">
        <v>68675</v>
      </c>
      <c r="F46" s="3">
        <v>68675</v>
      </c>
    </row>
    <row r="47" spans="3:6" x14ac:dyDescent="0.25">
      <c r="C47" s="1" t="str">
        <f>"HSRF0014075877"</f>
        <v>HSRF0014075877</v>
      </c>
      <c r="D47" s="2">
        <v>43723</v>
      </c>
      <c r="E47" s="3">
        <v>105872</v>
      </c>
      <c r="F47" s="3">
        <v>105872</v>
      </c>
    </row>
    <row r="48" spans="3:6" x14ac:dyDescent="0.25">
      <c r="C48" s="1" t="str">
        <f>"HSRF0014077197"</f>
        <v>HSRF0014077197</v>
      </c>
      <c r="D48" s="2">
        <v>43724</v>
      </c>
      <c r="E48" s="3">
        <v>54400</v>
      </c>
      <c r="F48" s="3">
        <v>54400</v>
      </c>
    </row>
    <row r="49" spans="3:6" x14ac:dyDescent="0.25">
      <c r="C49" s="1" t="str">
        <f>"HSRF0014077138"</f>
        <v>HSRF0014077138</v>
      </c>
      <c r="D49" s="2">
        <v>43724</v>
      </c>
      <c r="E49" s="3">
        <v>177750</v>
      </c>
      <c r="F49" s="3">
        <v>177750</v>
      </c>
    </row>
    <row r="50" spans="3:6" x14ac:dyDescent="0.25">
      <c r="C50" s="1" t="str">
        <f>"HSRF0014080983"</f>
        <v>HSRF0014080983</v>
      </c>
      <c r="D50" s="2">
        <v>43727</v>
      </c>
      <c r="E50" s="3">
        <v>113400</v>
      </c>
      <c r="F50" s="3">
        <v>113400</v>
      </c>
    </row>
    <row r="51" spans="3:6" x14ac:dyDescent="0.25">
      <c r="C51" s="1" t="str">
        <f>"HSRF0014080988"</f>
        <v>HSRF0014080988</v>
      </c>
      <c r="D51" s="2">
        <v>43727</v>
      </c>
      <c r="E51" s="3">
        <v>148500</v>
      </c>
      <c r="F51" s="3">
        <v>148500</v>
      </c>
    </row>
    <row r="52" spans="3:6" x14ac:dyDescent="0.25">
      <c r="C52" s="1" t="str">
        <f>"HSRF0014083350"</f>
        <v>HSRF0014083350</v>
      </c>
      <c r="D52" s="2">
        <v>43729</v>
      </c>
      <c r="E52" s="3">
        <v>139071</v>
      </c>
      <c r="F52" s="3">
        <v>139071</v>
      </c>
    </row>
    <row r="53" spans="3:6" x14ac:dyDescent="0.25">
      <c r="C53" s="1" t="str">
        <f>"HSRF0014083571"</f>
        <v>HSRF0014083571</v>
      </c>
      <c r="D53" s="2">
        <v>43730</v>
      </c>
      <c r="E53" s="3">
        <v>115100</v>
      </c>
      <c r="F53" s="3">
        <v>115100</v>
      </c>
    </row>
    <row r="54" spans="3:6" x14ac:dyDescent="0.25">
      <c r="C54" s="1" t="str">
        <f>"HSRF0014085950"</f>
        <v>HSRF0014085950</v>
      </c>
      <c r="D54" s="2">
        <v>43732</v>
      </c>
      <c r="E54" s="3">
        <v>24000</v>
      </c>
      <c r="F54" s="3">
        <v>24000</v>
      </c>
    </row>
    <row r="55" spans="3:6" x14ac:dyDescent="0.25">
      <c r="C55" s="1" t="str">
        <f>"HSRF0014085241"</f>
        <v>HSRF0014085241</v>
      </c>
      <c r="D55" s="2">
        <v>43732</v>
      </c>
      <c r="E55" s="3">
        <v>47800</v>
      </c>
      <c r="F55" s="3">
        <v>47800</v>
      </c>
    </row>
    <row r="56" spans="3:6" x14ac:dyDescent="0.25">
      <c r="C56" s="1" t="str">
        <f>"HSRF0014086331"</f>
        <v>HSRF0014086331</v>
      </c>
      <c r="D56" s="2">
        <v>43733</v>
      </c>
      <c r="E56" s="3">
        <v>781600</v>
      </c>
      <c r="F56" s="3">
        <v>781600</v>
      </c>
    </row>
    <row r="57" spans="3:6" x14ac:dyDescent="0.25">
      <c r="C57" s="1" t="str">
        <f>"HSRF0014088104"</f>
        <v>HSRF0014088104</v>
      </c>
      <c r="D57" s="2">
        <v>43734</v>
      </c>
      <c r="E57" s="3">
        <v>72600</v>
      </c>
      <c r="F57" s="3">
        <v>72600</v>
      </c>
    </row>
    <row r="58" spans="3:6" x14ac:dyDescent="0.25">
      <c r="C58" s="1" t="str">
        <f>"HSRF0014090046"</f>
        <v>HSRF0014090046</v>
      </c>
      <c r="D58" s="2">
        <v>43735</v>
      </c>
      <c r="E58" s="3">
        <v>47800</v>
      </c>
      <c r="F58" s="3">
        <v>47800</v>
      </c>
    </row>
    <row r="59" spans="3:6" x14ac:dyDescent="0.25">
      <c r="C59" s="1" t="str">
        <f>"HSRF0014092450"</f>
        <v>HSRF0014092450</v>
      </c>
      <c r="D59" s="2">
        <v>43738</v>
      </c>
      <c r="E59" s="3">
        <v>47800</v>
      </c>
      <c r="F59" s="3">
        <v>47800</v>
      </c>
    </row>
    <row r="60" spans="3:6" x14ac:dyDescent="0.25">
      <c r="C60" s="1" t="str">
        <f>"HSRF0014092291"</f>
        <v>HSRF0014092291</v>
      </c>
      <c r="D60" s="2">
        <v>43738</v>
      </c>
      <c r="E60" s="3">
        <v>152600</v>
      </c>
      <c r="F60" s="3">
        <v>152600</v>
      </c>
    </row>
    <row r="61" spans="3:6" x14ac:dyDescent="0.25">
      <c r="C61" s="1" t="str">
        <f>"HSRF0014094605"</f>
        <v>HSRF0014094605</v>
      </c>
      <c r="D61" s="2">
        <v>43739</v>
      </c>
      <c r="E61" s="3">
        <v>47800</v>
      </c>
      <c r="F61" s="3">
        <v>47800</v>
      </c>
    </row>
    <row r="62" spans="3:6" x14ac:dyDescent="0.25">
      <c r="C62" s="1" t="str">
        <f>"HSRF0014094935"</f>
        <v>HSRF0014094935</v>
      </c>
      <c r="D62" s="2">
        <v>43740</v>
      </c>
      <c r="E62" s="3">
        <v>188794</v>
      </c>
      <c r="F62" s="3">
        <v>188794</v>
      </c>
    </row>
    <row r="63" spans="3:6" x14ac:dyDescent="0.25">
      <c r="C63" s="1" t="str">
        <f>"HSRF0014096062"</f>
        <v>HSRF0014096062</v>
      </c>
      <c r="D63" s="2">
        <v>43740</v>
      </c>
      <c r="E63" s="3">
        <v>218776</v>
      </c>
      <c r="F63" s="3">
        <v>218776</v>
      </c>
    </row>
    <row r="64" spans="3:6" x14ac:dyDescent="0.25">
      <c r="C64" s="1" t="str">
        <f>"HSRF0014100131"</f>
        <v>HSRF0014100131</v>
      </c>
      <c r="D64" s="2">
        <v>43746</v>
      </c>
      <c r="E64" s="3">
        <v>54400</v>
      </c>
      <c r="F64" s="3">
        <v>54400</v>
      </c>
    </row>
    <row r="65" spans="3:6" x14ac:dyDescent="0.25">
      <c r="C65" s="1" t="str">
        <f>"HSRF0014101119"</f>
        <v>HSRF0014101119</v>
      </c>
      <c r="D65" s="2">
        <v>43746</v>
      </c>
      <c r="E65" s="3">
        <v>54400</v>
      </c>
      <c r="F65" s="3">
        <v>54400</v>
      </c>
    </row>
    <row r="66" spans="3:6" x14ac:dyDescent="0.25">
      <c r="C66" s="1" t="str">
        <f>"HSRF0014101507"</f>
        <v>HSRF0014101507</v>
      </c>
      <c r="D66" s="2">
        <v>43746</v>
      </c>
      <c r="E66" s="3">
        <v>284668</v>
      </c>
      <c r="F66" s="3">
        <v>284668</v>
      </c>
    </row>
    <row r="67" spans="3:6" x14ac:dyDescent="0.25">
      <c r="C67" s="1" t="str">
        <f>"HSRF0014103682"</f>
        <v>HSRF0014103682</v>
      </c>
      <c r="D67" s="2">
        <v>43748</v>
      </c>
      <c r="E67" s="3">
        <v>47800</v>
      </c>
      <c r="F67" s="3">
        <v>47800</v>
      </c>
    </row>
    <row r="68" spans="3:6" x14ac:dyDescent="0.25">
      <c r="C68" s="1" t="str">
        <f>"HSRF0014106065"</f>
        <v>HSRF0014106065</v>
      </c>
      <c r="D68" s="2">
        <v>43750</v>
      </c>
      <c r="E68" s="3">
        <v>22600</v>
      </c>
      <c r="F68" s="3">
        <v>22600</v>
      </c>
    </row>
    <row r="69" spans="3:6" x14ac:dyDescent="0.25">
      <c r="C69" s="1" t="str">
        <f>"HSRF0014106070"</f>
        <v>HSRF0014106070</v>
      </c>
      <c r="D69" s="2">
        <v>43750</v>
      </c>
      <c r="E69" s="3">
        <v>31600</v>
      </c>
      <c r="F69" s="3">
        <v>31600</v>
      </c>
    </row>
    <row r="70" spans="3:6" x14ac:dyDescent="0.25">
      <c r="C70" s="1" t="str">
        <f>"HSRF0014107382"</f>
        <v>HSRF0014107382</v>
      </c>
      <c r="D70" s="2">
        <v>43753</v>
      </c>
      <c r="E70" s="3">
        <v>256011</v>
      </c>
      <c r="F70" s="3">
        <v>256011</v>
      </c>
    </row>
    <row r="71" spans="3:6" x14ac:dyDescent="0.25">
      <c r="C71" s="1" t="str">
        <f>"HSRF0014109270"</f>
        <v>HSRF0014109270</v>
      </c>
      <c r="D71" s="2">
        <v>43754</v>
      </c>
      <c r="E71" s="3">
        <v>55640</v>
      </c>
      <c r="F71" s="3">
        <v>55640</v>
      </c>
    </row>
    <row r="72" spans="3:6" x14ac:dyDescent="0.25">
      <c r="C72" s="1" t="str">
        <f>"HSRF0014109476"</f>
        <v>HSRF0014109476</v>
      </c>
      <c r="D72" s="2">
        <v>43755</v>
      </c>
      <c r="E72" s="3">
        <v>161700</v>
      </c>
      <c r="F72" s="3">
        <v>161700</v>
      </c>
    </row>
    <row r="73" spans="3:6" x14ac:dyDescent="0.25">
      <c r="C73" s="1" t="str">
        <f>"HSRF0014112240"</f>
        <v>HSRF0014112240</v>
      </c>
      <c r="D73" s="2">
        <v>43757</v>
      </c>
      <c r="E73" s="3">
        <v>54400</v>
      </c>
      <c r="F73" s="3">
        <v>54400</v>
      </c>
    </row>
    <row r="74" spans="3:6" x14ac:dyDescent="0.25">
      <c r="C74" s="1" t="str">
        <f>"HSRF0014112238"</f>
        <v>HSRF0014112238</v>
      </c>
      <c r="D74" s="2">
        <v>43757</v>
      </c>
      <c r="E74" s="3">
        <v>1222989</v>
      </c>
      <c r="F74" s="3">
        <v>1222989</v>
      </c>
    </row>
    <row r="75" spans="3:6" x14ac:dyDescent="0.25">
      <c r="C75" s="1" t="str">
        <f>"HSRF0014116024"</f>
        <v>HSRF0014116024</v>
      </c>
      <c r="D75" s="2">
        <v>43761</v>
      </c>
      <c r="E75" s="3">
        <v>35100</v>
      </c>
      <c r="F75" s="3">
        <v>35100</v>
      </c>
    </row>
    <row r="76" spans="3:6" x14ac:dyDescent="0.25">
      <c r="C76" s="1" t="str">
        <f>"HSRF0014117332"</f>
        <v>HSRF0014117332</v>
      </c>
      <c r="D76" s="2">
        <v>43761</v>
      </c>
      <c r="E76" s="3">
        <v>54400</v>
      </c>
      <c r="F76" s="3">
        <v>54400</v>
      </c>
    </row>
    <row r="77" spans="3:6" x14ac:dyDescent="0.25">
      <c r="C77" s="1" t="str">
        <f>"HSRF0014117670"</f>
        <v>HSRF0014117670</v>
      </c>
      <c r="D77" s="2">
        <v>43762</v>
      </c>
      <c r="E77" s="3">
        <v>467100</v>
      </c>
      <c r="F77" s="3">
        <v>467100</v>
      </c>
    </row>
    <row r="78" spans="3:6" x14ac:dyDescent="0.25">
      <c r="C78" s="1" t="str">
        <f>"HSRF0014121486"</f>
        <v>HSRF0014121486</v>
      </c>
      <c r="D78" s="2">
        <v>43766</v>
      </c>
      <c r="E78" s="3">
        <v>33200</v>
      </c>
      <c r="F78" s="3">
        <v>33200</v>
      </c>
    </row>
    <row r="79" spans="3:6" x14ac:dyDescent="0.25">
      <c r="C79" s="1" t="str">
        <f>"HSRF0014127066"</f>
        <v>HSRF0014127066</v>
      </c>
      <c r="D79" s="2">
        <v>43769</v>
      </c>
      <c r="E79" s="3">
        <v>328229</v>
      </c>
      <c r="F79" s="3">
        <v>328229</v>
      </c>
    </row>
    <row r="80" spans="3:6" x14ac:dyDescent="0.25">
      <c r="C80" s="1" t="str">
        <f>"HSRF0014128080"</f>
        <v>HSRF0014128080</v>
      </c>
      <c r="D80" s="2">
        <v>43770</v>
      </c>
      <c r="E80" s="3">
        <v>61610</v>
      </c>
      <c r="F80" s="3">
        <v>61610</v>
      </c>
    </row>
    <row r="81" spans="3:6" x14ac:dyDescent="0.25">
      <c r="C81" s="1" t="str">
        <f>"HSRF0014128051"</f>
        <v>HSRF0014128051</v>
      </c>
      <c r="D81" s="2">
        <v>43770</v>
      </c>
      <c r="E81" s="3">
        <v>170876</v>
      </c>
      <c r="F81" s="3">
        <v>170876</v>
      </c>
    </row>
    <row r="82" spans="3:6" x14ac:dyDescent="0.25">
      <c r="C82" s="1" t="str">
        <f>"HSRF0014128886"</f>
        <v>HSRF0014128886</v>
      </c>
      <c r="D82" s="2">
        <v>43771</v>
      </c>
      <c r="E82" s="3">
        <v>183900</v>
      </c>
      <c r="F82" s="3">
        <v>183900</v>
      </c>
    </row>
    <row r="83" spans="3:6" x14ac:dyDescent="0.25">
      <c r="C83" s="1" t="str">
        <f>"HSRF0014129197"</f>
        <v>HSRF0014129197</v>
      </c>
      <c r="D83" s="2">
        <v>43772</v>
      </c>
      <c r="E83" s="3">
        <v>120545</v>
      </c>
      <c r="F83" s="3">
        <v>120545</v>
      </c>
    </row>
    <row r="84" spans="3:6" x14ac:dyDescent="0.25">
      <c r="C84" s="1" t="str">
        <f>"HSRF0014129868"</f>
        <v>HSRF0014129868</v>
      </c>
      <c r="D84" s="2">
        <v>43774</v>
      </c>
      <c r="E84" s="3">
        <v>24000</v>
      </c>
      <c r="F84" s="3">
        <v>24000</v>
      </c>
    </row>
    <row r="85" spans="3:6" x14ac:dyDescent="0.25">
      <c r="C85" s="1" t="str">
        <f>"HSRF0014129879"</f>
        <v>HSRF0014129879</v>
      </c>
      <c r="D85" s="2">
        <v>43774</v>
      </c>
      <c r="E85" s="3">
        <v>47800</v>
      </c>
      <c r="F85" s="3">
        <v>47800</v>
      </c>
    </row>
    <row r="86" spans="3:6" x14ac:dyDescent="0.25">
      <c r="C86" s="1" t="str">
        <f>"HSRF0014130160"</f>
        <v>HSRF0014130160</v>
      </c>
      <c r="D86" s="2">
        <v>43774</v>
      </c>
      <c r="E86" s="3">
        <v>47800</v>
      </c>
      <c r="F86" s="3">
        <v>47800</v>
      </c>
    </row>
    <row r="87" spans="3:6" x14ac:dyDescent="0.25">
      <c r="C87" s="1" t="str">
        <f>"HSRF0014139579"</f>
        <v>HSRF0014139579</v>
      </c>
      <c r="D87" s="2">
        <v>43783</v>
      </c>
      <c r="E87" s="3">
        <v>33200</v>
      </c>
      <c r="F87" s="3">
        <v>33200</v>
      </c>
    </row>
    <row r="88" spans="3:6" x14ac:dyDescent="0.25">
      <c r="C88" s="1" t="str">
        <f>"HSRF0014141346"</f>
        <v>HSRF0014141346</v>
      </c>
      <c r="D88" s="2">
        <v>43784</v>
      </c>
      <c r="E88" s="3">
        <v>24000</v>
      </c>
      <c r="F88" s="3">
        <v>23805</v>
      </c>
    </row>
    <row r="89" spans="3:6" x14ac:dyDescent="0.25">
      <c r="C89" s="1" t="str">
        <f>"HSRF0014141827"</f>
        <v>HSRF0014141827</v>
      </c>
      <c r="D89" s="2">
        <v>43784</v>
      </c>
      <c r="E89" s="3">
        <v>238212</v>
      </c>
      <c r="F89" s="3">
        <v>238212</v>
      </c>
    </row>
    <row r="90" spans="3:6" x14ac:dyDescent="0.25">
      <c r="C90" s="1" t="str">
        <f>"HSRF0014142132"</f>
        <v>HSRF0014142132</v>
      </c>
      <c r="D90" s="2">
        <v>43785</v>
      </c>
      <c r="E90" s="3">
        <v>47800</v>
      </c>
      <c r="F90" s="3">
        <v>47800</v>
      </c>
    </row>
    <row r="91" spans="3:6" x14ac:dyDescent="0.25">
      <c r="C91" s="1" t="str">
        <f>"HSRF0014144255"</f>
        <v>HSRF0014144255</v>
      </c>
      <c r="D91" s="2">
        <v>43787</v>
      </c>
      <c r="E91" s="3">
        <v>367885</v>
      </c>
      <c r="F91" s="3">
        <v>367885</v>
      </c>
    </row>
    <row r="92" spans="3:6" x14ac:dyDescent="0.25">
      <c r="C92" s="1" t="str">
        <f>"HSRF0014145952"</f>
        <v>HSRF0014145952</v>
      </c>
      <c r="D92" s="2">
        <v>43789</v>
      </c>
      <c r="E92" s="3">
        <v>54852</v>
      </c>
      <c r="F92" s="3">
        <v>54852</v>
      </c>
    </row>
    <row r="93" spans="3:6" x14ac:dyDescent="0.25">
      <c r="C93" s="1" t="str">
        <f>"HSRF0014152100"</f>
        <v>HSRF0014152100</v>
      </c>
      <c r="D93" s="2">
        <v>43794</v>
      </c>
      <c r="E93" s="3">
        <v>59366</v>
      </c>
      <c r="F93" s="3">
        <v>59366</v>
      </c>
    </row>
    <row r="94" spans="3:6" x14ac:dyDescent="0.25">
      <c r="C94" s="1" t="str">
        <f>"HSRF0014152839"</f>
        <v>HSRF0014152839</v>
      </c>
      <c r="D94" s="2">
        <v>43795</v>
      </c>
      <c r="E94" s="3">
        <v>69193</v>
      </c>
      <c r="F94" s="3">
        <v>69193</v>
      </c>
    </row>
    <row r="95" spans="3:6" x14ac:dyDescent="0.25">
      <c r="C95" s="1" t="str">
        <f>"HSRF0014152608"</f>
        <v>HSRF0014152608</v>
      </c>
      <c r="D95" s="2">
        <v>43795</v>
      </c>
      <c r="E95" s="3">
        <v>492500</v>
      </c>
      <c r="F95" s="3">
        <v>492500</v>
      </c>
    </row>
    <row r="96" spans="3:6" x14ac:dyDescent="0.25">
      <c r="C96" s="1" t="str">
        <f>"HSRF0014155696"</f>
        <v>HSRF0014155696</v>
      </c>
      <c r="D96" s="2">
        <v>43796</v>
      </c>
      <c r="E96" s="3">
        <v>113894</v>
      </c>
      <c r="F96" s="3">
        <v>113894</v>
      </c>
    </row>
    <row r="97" spans="3:6" x14ac:dyDescent="0.25">
      <c r="C97" s="1" t="str">
        <f>"HSRF0014154915"</f>
        <v>HSRF0014154915</v>
      </c>
      <c r="D97" s="2">
        <v>43796</v>
      </c>
      <c r="E97" s="3">
        <v>2759216</v>
      </c>
      <c r="F97" s="3">
        <v>2759216</v>
      </c>
    </row>
    <row r="98" spans="3:6" x14ac:dyDescent="0.25">
      <c r="C98" s="1" t="str">
        <f>"HSRF0014155779"</f>
        <v>HSRF0014155779</v>
      </c>
      <c r="D98" s="2">
        <v>43797</v>
      </c>
      <c r="E98" s="3">
        <v>144569</v>
      </c>
      <c r="F98" s="3">
        <v>144569</v>
      </c>
    </row>
    <row r="99" spans="3:6" x14ac:dyDescent="0.25">
      <c r="C99" s="1" t="str">
        <f>"HSRF0014157405"</f>
        <v>HSRF0014157405</v>
      </c>
      <c r="D99" s="2">
        <v>43797</v>
      </c>
      <c r="E99" s="3">
        <v>622827</v>
      </c>
      <c r="F99" s="3">
        <v>622827</v>
      </c>
    </row>
    <row r="100" spans="3:6" x14ac:dyDescent="0.25">
      <c r="C100" s="1" t="str">
        <f>"HSRF0014158162"</f>
        <v>HSRF0014158162</v>
      </c>
      <c r="D100" s="2">
        <v>43798</v>
      </c>
      <c r="E100" s="3">
        <v>71500</v>
      </c>
      <c r="F100" s="3">
        <v>71500</v>
      </c>
    </row>
    <row r="101" spans="3:6" x14ac:dyDescent="0.25">
      <c r="C101" s="1" t="str">
        <f>"HSRF0014161328"</f>
        <v>HSRF0014161328</v>
      </c>
      <c r="D101" s="2">
        <v>43801</v>
      </c>
      <c r="E101" s="3">
        <v>22600</v>
      </c>
      <c r="F101" s="3">
        <v>22600</v>
      </c>
    </row>
    <row r="102" spans="3:6" x14ac:dyDescent="0.25">
      <c r="C102" s="1" t="str">
        <f>"HSRF0014161585"</f>
        <v>HSRF0014161585</v>
      </c>
      <c r="D102" s="2">
        <v>43802</v>
      </c>
      <c r="E102" s="3">
        <v>68675</v>
      </c>
      <c r="F102" s="3">
        <v>68675</v>
      </c>
    </row>
    <row r="103" spans="3:6" x14ac:dyDescent="0.25">
      <c r="C103" s="1" t="str">
        <f>"HSRF0014164134"</f>
        <v>HSRF0014164134</v>
      </c>
      <c r="D103" s="2">
        <v>43803</v>
      </c>
      <c r="E103" s="3">
        <v>33200</v>
      </c>
      <c r="F103" s="3">
        <v>33200</v>
      </c>
    </row>
    <row r="104" spans="3:6" x14ac:dyDescent="0.25">
      <c r="C104" s="1" t="str">
        <f>"HSRF0014164139"</f>
        <v>HSRF0014164139</v>
      </c>
      <c r="D104" s="2">
        <v>43803</v>
      </c>
      <c r="E104" s="3">
        <v>33200</v>
      </c>
      <c r="F104" s="3">
        <v>33200</v>
      </c>
    </row>
    <row r="105" spans="3:6" x14ac:dyDescent="0.25">
      <c r="C105" s="1" t="str">
        <f>"HSRF0014168509"</f>
        <v>HSRF0014168509</v>
      </c>
      <c r="D105" s="2">
        <v>43808</v>
      </c>
      <c r="E105" s="3">
        <v>33200</v>
      </c>
      <c r="F105" s="3">
        <v>33200</v>
      </c>
    </row>
    <row r="106" spans="3:6" x14ac:dyDescent="0.25">
      <c r="C106" s="1" t="str">
        <f>"HSRF0014169688"</f>
        <v>HSRF0014169688</v>
      </c>
      <c r="D106" s="2">
        <v>43809</v>
      </c>
      <c r="E106" s="3">
        <v>33200</v>
      </c>
      <c r="F106" s="3">
        <v>33200</v>
      </c>
    </row>
    <row r="107" spans="3:6" x14ac:dyDescent="0.25">
      <c r="C107" s="1" t="str">
        <f>"HSRF0014175038"</f>
        <v>HSRF0014175038</v>
      </c>
      <c r="D107" s="2">
        <v>43812</v>
      </c>
      <c r="E107" s="3">
        <v>22600</v>
      </c>
      <c r="F107" s="3">
        <v>22600</v>
      </c>
    </row>
    <row r="108" spans="3:6" x14ac:dyDescent="0.25">
      <c r="C108" s="1" t="str">
        <f>"HSRF0014175042"</f>
        <v>HSRF0014175042</v>
      </c>
      <c r="D108" s="2">
        <v>43812</v>
      </c>
      <c r="E108" s="3">
        <v>22600</v>
      </c>
      <c r="F108" s="3">
        <v>22600</v>
      </c>
    </row>
    <row r="109" spans="3:6" x14ac:dyDescent="0.25">
      <c r="C109" s="1" t="str">
        <f>"HSRF0014180002"</f>
        <v>HSRF0014180002</v>
      </c>
      <c r="D109" s="2">
        <v>43817</v>
      </c>
      <c r="E109" s="3">
        <v>21200</v>
      </c>
      <c r="F109" s="3">
        <v>21200</v>
      </c>
    </row>
    <row r="110" spans="3:6" x14ac:dyDescent="0.25">
      <c r="C110" s="1" t="str">
        <f>"HSRF0014181115"</f>
        <v>HSRF0014181115</v>
      </c>
      <c r="D110" s="2">
        <v>43818</v>
      </c>
      <c r="E110" s="3">
        <v>68675</v>
      </c>
      <c r="F110" s="3">
        <v>68675</v>
      </c>
    </row>
    <row r="111" spans="3:6" x14ac:dyDescent="0.25">
      <c r="C111" s="1" t="str">
        <f>"HSRF0014184434"</f>
        <v>HSRF0014184434</v>
      </c>
      <c r="D111" s="2">
        <v>43822</v>
      </c>
      <c r="E111" s="3">
        <v>882422</v>
      </c>
      <c r="F111" s="3">
        <v>882422</v>
      </c>
    </row>
    <row r="112" spans="3:6" x14ac:dyDescent="0.25">
      <c r="C112" s="1" t="str">
        <f>"HSRF0014187917"</f>
        <v>HSRF0014187917</v>
      </c>
      <c r="D112" s="2">
        <v>43826</v>
      </c>
      <c r="E112" s="3">
        <v>192200</v>
      </c>
      <c r="F112" s="3">
        <v>192200</v>
      </c>
    </row>
    <row r="113" spans="3:6" x14ac:dyDescent="0.25">
      <c r="C113" s="1" t="str">
        <f>"HSRF0014189199"</f>
        <v>HSRF0014189199</v>
      </c>
      <c r="D113" s="2">
        <v>43828</v>
      </c>
      <c r="E113" s="3">
        <v>179900</v>
      </c>
      <c r="F113" s="3">
        <v>179900</v>
      </c>
    </row>
    <row r="114" spans="3:6" x14ac:dyDescent="0.25">
      <c r="C114" s="1" t="str">
        <f>"HSRF0014189208"</f>
        <v>HSRF0014189208</v>
      </c>
      <c r="D114" s="2">
        <v>43828</v>
      </c>
      <c r="E114" s="3">
        <v>2832177</v>
      </c>
      <c r="F114" s="3">
        <v>2832177</v>
      </c>
    </row>
    <row r="115" spans="3:6" x14ac:dyDescent="0.25">
      <c r="C115" s="1" t="str">
        <f>"HSRF0014189521"</f>
        <v>HSRF0014189521</v>
      </c>
      <c r="D115" s="2">
        <v>43829</v>
      </c>
      <c r="E115" s="3">
        <v>149100</v>
      </c>
      <c r="F115" s="3">
        <v>149100</v>
      </c>
    </row>
    <row r="116" spans="3:6" x14ac:dyDescent="0.25">
      <c r="C116" s="1" t="str">
        <f>"HSRF0014189497"</f>
        <v>HSRF0014189497</v>
      </c>
      <c r="D116" s="2">
        <v>43829</v>
      </c>
      <c r="E116" s="3">
        <v>8990327</v>
      </c>
      <c r="F116" s="3">
        <v>8990327</v>
      </c>
    </row>
    <row r="117" spans="3:6" x14ac:dyDescent="0.25">
      <c r="C117" s="1" t="str">
        <f>"HSRF0014190421"</f>
        <v>HSRF0014190421</v>
      </c>
      <c r="D117" s="2">
        <v>43830</v>
      </c>
      <c r="E117" s="3">
        <v>81658</v>
      </c>
      <c r="F117" s="3">
        <v>81658</v>
      </c>
    </row>
    <row r="118" spans="3:6" x14ac:dyDescent="0.25">
      <c r="C118" s="1" t="str">
        <f>"HSRF0014190806"</f>
        <v>HSRF0014190806</v>
      </c>
      <c r="D118" s="2">
        <v>43830</v>
      </c>
      <c r="E118" s="3">
        <v>509762</v>
      </c>
      <c r="F118" s="3">
        <v>509762</v>
      </c>
    </row>
    <row r="119" spans="3:6" x14ac:dyDescent="0.25">
      <c r="C119" s="1" t="str">
        <f>"HSRF0014190539"</f>
        <v>HSRF0014190539</v>
      </c>
      <c r="D119" s="2">
        <v>43830</v>
      </c>
      <c r="E119" s="3">
        <v>550211</v>
      </c>
      <c r="F119" s="3">
        <v>550211</v>
      </c>
    </row>
    <row r="120" spans="3:6" x14ac:dyDescent="0.25">
      <c r="C120" s="1" t="str">
        <f>"HSRF0014192454"</f>
        <v>HSRF0014192454</v>
      </c>
      <c r="D120" s="2">
        <v>43833</v>
      </c>
      <c r="E120" s="3">
        <v>392000</v>
      </c>
      <c r="F120" s="3">
        <v>392000</v>
      </c>
    </row>
    <row r="121" spans="3:6" x14ac:dyDescent="0.25">
      <c r="C121" s="1" t="str">
        <f>"HSRF0014192620"</f>
        <v>HSRF0014192620</v>
      </c>
      <c r="D121" s="2">
        <v>43833</v>
      </c>
      <c r="E121" s="3">
        <v>547943</v>
      </c>
      <c r="F121" s="3">
        <v>547943</v>
      </c>
    </row>
    <row r="122" spans="3:6" x14ac:dyDescent="0.25">
      <c r="C122" s="1" t="str">
        <f>"HSRF0014193915"</f>
        <v>HSRF0014193915</v>
      </c>
      <c r="D122" s="2">
        <v>43837</v>
      </c>
      <c r="E122" s="3">
        <v>356613</v>
      </c>
      <c r="F122" s="3">
        <v>356613</v>
      </c>
    </row>
    <row r="123" spans="3:6" x14ac:dyDescent="0.25">
      <c r="C123" s="1" t="str">
        <f>"HSRF0014195391"</f>
        <v>HSRF0014195391</v>
      </c>
      <c r="D123" s="2">
        <v>43838</v>
      </c>
      <c r="E123" s="3">
        <v>279946</v>
      </c>
      <c r="F123" s="3">
        <v>279946</v>
      </c>
    </row>
    <row r="124" spans="3:6" x14ac:dyDescent="0.25">
      <c r="C124" s="1" t="str">
        <f>"HSRF0014196891"</f>
        <v>HSRF0014196891</v>
      </c>
      <c r="D124" s="2">
        <v>43840</v>
      </c>
      <c r="E124" s="3">
        <v>191200</v>
      </c>
      <c r="F124" s="3">
        <v>191200</v>
      </c>
    </row>
    <row r="125" spans="3:6" x14ac:dyDescent="0.25">
      <c r="C125" s="1" t="str">
        <f>"HSRF0014196884"</f>
        <v>HSRF0014196884</v>
      </c>
      <c r="D125" s="2">
        <v>43840</v>
      </c>
      <c r="E125" s="3">
        <v>1294827</v>
      </c>
      <c r="F125" s="3">
        <v>1294827</v>
      </c>
    </row>
    <row r="126" spans="3:6" x14ac:dyDescent="0.25">
      <c r="C126" s="1" t="str">
        <f>"HSRF0014198475"</f>
        <v>HSRF0014198475</v>
      </c>
      <c r="D126" s="2">
        <v>43841</v>
      </c>
      <c r="E126" s="3">
        <v>85976</v>
      </c>
      <c r="F126" s="3">
        <v>85976</v>
      </c>
    </row>
    <row r="127" spans="3:6" x14ac:dyDescent="0.25">
      <c r="C127" s="1" t="str">
        <f>"HSRF0014201100"</f>
        <v>HSRF0014201100</v>
      </c>
      <c r="D127" s="2">
        <v>43844</v>
      </c>
      <c r="E127" s="3">
        <v>57600</v>
      </c>
      <c r="F127" s="3">
        <v>57600</v>
      </c>
    </row>
    <row r="128" spans="3:6" x14ac:dyDescent="0.25">
      <c r="C128" s="1" t="str">
        <f>"HSRF0014201185"</f>
        <v>HSRF0014201185</v>
      </c>
      <c r="D128" s="2">
        <v>43845</v>
      </c>
      <c r="E128" s="3">
        <v>113928</v>
      </c>
      <c r="F128" s="3">
        <v>113928</v>
      </c>
    </row>
    <row r="129" spans="3:6" x14ac:dyDescent="0.25">
      <c r="C129" s="1" t="str">
        <f>"HSRF0014206060"</f>
        <v>HSRF0014206060</v>
      </c>
      <c r="D129" s="2">
        <v>43850</v>
      </c>
      <c r="E129" s="3">
        <v>50600</v>
      </c>
      <c r="F129" s="3">
        <v>50600</v>
      </c>
    </row>
    <row r="130" spans="3:6" x14ac:dyDescent="0.25">
      <c r="C130" s="1" t="str">
        <f>"HSRF0014206052"</f>
        <v>HSRF0014206052</v>
      </c>
      <c r="D130" s="2">
        <v>43850</v>
      </c>
      <c r="E130" s="3">
        <v>76900</v>
      </c>
      <c r="F130" s="3">
        <v>76900</v>
      </c>
    </row>
    <row r="131" spans="3:6" x14ac:dyDescent="0.25">
      <c r="C131" s="1" t="str">
        <f>"HSRF0014206041"</f>
        <v>HSRF0014206041</v>
      </c>
      <c r="D131" s="2">
        <v>43850</v>
      </c>
      <c r="E131" s="3">
        <v>539800</v>
      </c>
      <c r="F131" s="3">
        <v>539800</v>
      </c>
    </row>
    <row r="132" spans="3:6" x14ac:dyDescent="0.25">
      <c r="C132" s="1" t="str">
        <f>"HSRF0014212560"</f>
        <v>HSRF0014212560</v>
      </c>
      <c r="D132" s="2">
        <v>43855</v>
      </c>
      <c r="E132" s="3">
        <v>57600</v>
      </c>
      <c r="F132" s="3">
        <v>57600</v>
      </c>
    </row>
    <row r="133" spans="3:6" x14ac:dyDescent="0.25">
      <c r="C133" s="1" t="str">
        <f>"HSRF0014215498"</f>
        <v>HSRF0014215498</v>
      </c>
      <c r="D133" s="2">
        <v>43858</v>
      </c>
      <c r="E133" s="3">
        <v>35100</v>
      </c>
      <c r="F133" s="3">
        <v>35100</v>
      </c>
    </row>
    <row r="134" spans="3:6" x14ac:dyDescent="0.25">
      <c r="C134" s="1" t="str">
        <f>"HSRF0014214599"</f>
        <v>HSRF0014214599</v>
      </c>
      <c r="D134" s="2">
        <v>43858</v>
      </c>
      <c r="E134" s="3">
        <v>119900</v>
      </c>
      <c r="F134" s="3">
        <v>119900</v>
      </c>
    </row>
    <row r="135" spans="3:6" x14ac:dyDescent="0.25">
      <c r="C135" s="1" t="str">
        <f>"HSRF0014216696"</f>
        <v>HSRF0014216696</v>
      </c>
      <c r="D135" s="2">
        <v>43859</v>
      </c>
      <c r="E135" s="3">
        <v>57600</v>
      </c>
      <c r="F135" s="3">
        <v>57600</v>
      </c>
    </row>
    <row r="136" spans="3:6" x14ac:dyDescent="0.25">
      <c r="C136" s="1" t="str">
        <f>"HSRF0014216109"</f>
        <v>HSRF0014216109</v>
      </c>
      <c r="D136" s="2">
        <v>43859</v>
      </c>
      <c r="E136" s="3">
        <v>85319</v>
      </c>
      <c r="F136" s="3">
        <v>85319</v>
      </c>
    </row>
    <row r="137" spans="3:6" x14ac:dyDescent="0.25">
      <c r="C137" s="1" t="str">
        <f>"HSRF0014217389"</f>
        <v>HSRF0014217389</v>
      </c>
      <c r="D137" s="2">
        <v>43860</v>
      </c>
      <c r="E137" s="3">
        <v>54400</v>
      </c>
      <c r="F137" s="3">
        <v>54400</v>
      </c>
    </row>
    <row r="138" spans="3:6" x14ac:dyDescent="0.25">
      <c r="C138" s="1" t="str">
        <f>"HSRF0014218231"</f>
        <v>HSRF0014218231</v>
      </c>
      <c r="D138" s="2">
        <v>43860</v>
      </c>
      <c r="E138" s="3">
        <v>401798</v>
      </c>
      <c r="F138" s="3">
        <v>355598</v>
      </c>
    </row>
    <row r="139" spans="3:6" x14ac:dyDescent="0.25">
      <c r="C139" s="1" t="str">
        <f>"HSRF0014217390"</f>
        <v>HSRF0014217390</v>
      </c>
      <c r="D139" s="2">
        <v>43860</v>
      </c>
      <c r="E139" s="3">
        <v>940454</v>
      </c>
      <c r="F139" s="3">
        <v>940454</v>
      </c>
    </row>
    <row r="140" spans="3:6" x14ac:dyDescent="0.25">
      <c r="C140" s="1" t="str">
        <f>"HSRF0014219234"</f>
        <v>HSRF0014219234</v>
      </c>
      <c r="D140" s="2">
        <v>43861</v>
      </c>
      <c r="E140" s="3">
        <v>59311</v>
      </c>
      <c r="F140" s="3">
        <v>59311</v>
      </c>
    </row>
    <row r="141" spans="3:6" x14ac:dyDescent="0.25">
      <c r="C141" s="1" t="str">
        <f>"HSRF0014218806"</f>
        <v>HSRF0014218806</v>
      </c>
      <c r="D141" s="2">
        <v>43861</v>
      </c>
      <c r="E141" s="3">
        <v>176664</v>
      </c>
      <c r="F141" s="3">
        <v>176664</v>
      </c>
    </row>
    <row r="142" spans="3:6" x14ac:dyDescent="0.25">
      <c r="C142" s="1" t="str">
        <f>"HSRF0014220586"</f>
        <v>HSRF0014220586</v>
      </c>
      <c r="D142" s="2">
        <v>43862</v>
      </c>
      <c r="E142" s="3">
        <v>360176</v>
      </c>
      <c r="F142" s="3">
        <v>360176</v>
      </c>
    </row>
    <row r="143" spans="3:6" x14ac:dyDescent="0.25">
      <c r="C143" s="1" t="str">
        <f>"HSRF0014220627"</f>
        <v>HSRF0014220627</v>
      </c>
      <c r="D143" s="2">
        <v>43862</v>
      </c>
      <c r="E143" s="3">
        <v>917704</v>
      </c>
      <c r="F143" s="3">
        <v>917704</v>
      </c>
    </row>
    <row r="144" spans="3:6" x14ac:dyDescent="0.25">
      <c r="C144" s="4" t="s">
        <v>4</v>
      </c>
      <c r="D144" s="4"/>
      <c r="E144" s="4"/>
      <c r="F144" s="5">
        <f>SUM(F5:F143)</f>
        <v>46502354.299999997</v>
      </c>
    </row>
  </sheetData>
  <sortState xmlns:xlrd2="http://schemas.microsoft.com/office/spreadsheetml/2017/richdata2" ref="C5:F144">
    <sortCondition ref="D5:D144"/>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04FA6B-E127-4423-AA5C-B9EBAB214779}">
  <dimension ref="A1:V141"/>
  <sheetViews>
    <sheetView tabSelected="1" workbookViewId="0">
      <pane ySplit="1" topLeftCell="A2" activePane="bottomLeft" state="frozen"/>
      <selection pane="bottomLeft" activeCell="G144" sqref="G144"/>
    </sheetView>
  </sheetViews>
  <sheetFormatPr baseColWidth="10" defaultRowHeight="15" x14ac:dyDescent="0.25"/>
  <cols>
    <col min="1" max="1" width="17.7109375" customWidth="1"/>
    <col min="3" max="4" width="14.140625" bestFit="1" customWidth="1"/>
  </cols>
  <sheetData>
    <row r="1" spans="1:22" ht="51" x14ac:dyDescent="0.25">
      <c r="A1" s="12" t="s">
        <v>17</v>
      </c>
      <c r="B1" s="21" t="s">
        <v>35</v>
      </c>
      <c r="C1" s="13" t="s">
        <v>18</v>
      </c>
      <c r="D1" s="13" t="s">
        <v>19</v>
      </c>
      <c r="E1" s="23" t="s">
        <v>20</v>
      </c>
      <c r="F1" s="14" t="s">
        <v>21</v>
      </c>
      <c r="G1" s="14" t="s">
        <v>22</v>
      </c>
      <c r="H1" s="14" t="s">
        <v>23</v>
      </c>
      <c r="I1" s="15" t="s">
        <v>24</v>
      </c>
      <c r="J1" s="15" t="s">
        <v>25</v>
      </c>
      <c r="K1" s="16" t="s">
        <v>26</v>
      </c>
      <c r="L1" s="15" t="s">
        <v>27</v>
      </c>
      <c r="M1" s="16" t="s">
        <v>28</v>
      </c>
      <c r="N1" s="16" t="s">
        <v>29</v>
      </c>
      <c r="O1" s="16" t="s">
        <v>30</v>
      </c>
      <c r="P1" s="15" t="s">
        <v>22</v>
      </c>
      <c r="Q1" s="17" t="s">
        <v>31</v>
      </c>
      <c r="R1" s="18" t="s">
        <v>32</v>
      </c>
      <c r="S1" s="19" t="s">
        <v>33</v>
      </c>
      <c r="T1" s="11" t="s">
        <v>34</v>
      </c>
      <c r="V1">
        <v>890680025</v>
      </c>
    </row>
    <row r="2" spans="1:22" x14ac:dyDescent="0.25">
      <c r="A2" s="1" t="s">
        <v>36</v>
      </c>
      <c r="B2" s="22">
        <v>13791092</v>
      </c>
      <c r="C2" s="24">
        <v>950088</v>
      </c>
      <c r="D2" s="24">
        <v>78800</v>
      </c>
      <c r="E2" s="1" t="e">
        <f>VLOOKUP(B2,CXP!$C$2:$C$4,1,0)</f>
        <v>#N/A</v>
      </c>
      <c r="F2" s="1" t="e">
        <f>VLOOKUP(B2,GLOSAS!$C$2:$C$10,1,0)</f>
        <v>#N/A</v>
      </c>
      <c r="G2" s="1">
        <f>VLOOKUP(B2,CANCELADAS!$C$2:$C$506,1,0)</f>
        <v>13791092</v>
      </c>
      <c r="H2" s="1" t="e">
        <f>VLOOKUP(B2,DEVOLUCIONES!$B$2:$B$40,1,0)</f>
        <v>#N/A</v>
      </c>
      <c r="I2" s="24"/>
      <c r="J2" s="24"/>
      <c r="K2" s="24"/>
      <c r="L2" s="24"/>
      <c r="M2" s="24"/>
      <c r="N2" s="24"/>
      <c r="O2" s="24"/>
      <c r="P2" s="24">
        <v>78800</v>
      </c>
      <c r="Q2" s="1">
        <v>2000324561</v>
      </c>
      <c r="R2" s="1" t="s">
        <v>1736</v>
      </c>
      <c r="S2" s="1"/>
      <c r="T2" s="30">
        <f>D2-SUM(I2:P2)</f>
        <v>0</v>
      </c>
    </row>
    <row r="3" spans="1:22" x14ac:dyDescent="0.25">
      <c r="A3" s="1" t="s">
        <v>37</v>
      </c>
      <c r="B3" s="22">
        <v>13804350</v>
      </c>
      <c r="C3" s="24">
        <v>59212</v>
      </c>
      <c r="D3" s="24">
        <v>59212</v>
      </c>
      <c r="E3" s="1" t="e">
        <f>VLOOKUP(B3,CXP!$C$2:$C$4,1,0)</f>
        <v>#N/A</v>
      </c>
      <c r="F3" s="1" t="e">
        <f>VLOOKUP(B3,GLOSAS!$C$2:$C$10,1,0)</f>
        <v>#N/A</v>
      </c>
      <c r="G3" s="1" t="e">
        <f>VLOOKUP(B3,CANCELADAS!$C$2:$C$506,1,0)</f>
        <v>#N/A</v>
      </c>
      <c r="H3" s="1" t="e">
        <f>VLOOKUP(B3,DEVOLUCIONES!$B$2:$B$40,1,0)</f>
        <v>#N/A</v>
      </c>
      <c r="I3" s="24"/>
      <c r="J3" s="24"/>
      <c r="K3" s="24"/>
      <c r="L3" s="24">
        <f>+D3</f>
        <v>59212</v>
      </c>
      <c r="M3" s="24"/>
      <c r="N3" s="24"/>
      <c r="O3" s="24"/>
      <c r="P3" s="24"/>
      <c r="Q3" s="1"/>
      <c r="R3" s="1" t="s">
        <v>1865</v>
      </c>
      <c r="S3" s="1"/>
      <c r="T3" s="30">
        <f t="shared" ref="T3:T66" si="0">D3-SUM(I3:P3)</f>
        <v>0</v>
      </c>
    </row>
    <row r="4" spans="1:22" x14ac:dyDescent="0.25">
      <c r="A4" s="1" t="s">
        <v>38</v>
      </c>
      <c r="B4" s="22">
        <v>13827137</v>
      </c>
      <c r="C4" s="24">
        <v>1006880</v>
      </c>
      <c r="D4" s="24">
        <v>1006880</v>
      </c>
      <c r="E4" s="1" t="e">
        <f>VLOOKUP(B4,CXP!$C$2:$C$4,1,0)</f>
        <v>#N/A</v>
      </c>
      <c r="F4" s="1" t="e">
        <f>VLOOKUP(B4,GLOSAS!$C$2:$C$10,1,0)</f>
        <v>#N/A</v>
      </c>
      <c r="G4" s="1" t="e">
        <f>VLOOKUP(B4,CANCELADAS!$C$2:$C$506,1,0)</f>
        <v>#N/A</v>
      </c>
      <c r="H4" s="1">
        <f>VLOOKUP(B4,DEVOLUCIONES!$B$2:$B$40,1,0)</f>
        <v>13827137</v>
      </c>
      <c r="I4" s="24"/>
      <c r="J4" s="24">
        <v>1006880</v>
      </c>
      <c r="K4" s="24"/>
      <c r="L4" s="24"/>
      <c r="M4" s="24"/>
      <c r="N4" s="24"/>
      <c r="O4" s="24"/>
      <c r="P4" s="24"/>
      <c r="Q4" s="1" t="s">
        <v>1818</v>
      </c>
      <c r="R4" s="1" t="s">
        <v>1816</v>
      </c>
      <c r="S4" s="1"/>
      <c r="T4" s="30">
        <f t="shared" si="0"/>
        <v>0</v>
      </c>
    </row>
    <row r="5" spans="1:22" x14ac:dyDescent="0.25">
      <c r="A5" s="1" t="s">
        <v>39</v>
      </c>
      <c r="B5" s="22">
        <v>13842922</v>
      </c>
      <c r="C5" s="24">
        <v>54400</v>
      </c>
      <c r="D5" s="24">
        <v>33100</v>
      </c>
      <c r="E5" s="1" t="e">
        <f>VLOOKUP(B5,CXP!$C$2:$C$4,1,0)</f>
        <v>#N/A</v>
      </c>
      <c r="F5" s="1">
        <f>VLOOKUP(B5,GLOSAS!$C$2:$C$10,1,0)</f>
        <v>13842922</v>
      </c>
      <c r="G5" s="1" t="e">
        <f>VLOOKUP(B5,CANCELADAS!$C$2:$C$506,1,0)</f>
        <v>#N/A</v>
      </c>
      <c r="H5" s="1" t="e">
        <f>VLOOKUP(B5,DEVOLUCIONES!$B$2:$B$40,1,0)</f>
        <v>#N/A</v>
      </c>
      <c r="I5" s="24">
        <v>33100</v>
      </c>
      <c r="J5" s="24"/>
      <c r="K5" s="24"/>
      <c r="L5" s="24"/>
      <c r="M5" s="24"/>
      <c r="N5" s="24"/>
      <c r="O5" s="24"/>
      <c r="P5" s="24"/>
      <c r="Q5" s="1"/>
      <c r="R5" s="1"/>
      <c r="S5" s="1"/>
      <c r="T5" s="34">
        <f t="shared" si="0"/>
        <v>0</v>
      </c>
    </row>
    <row r="6" spans="1:22" x14ac:dyDescent="0.25">
      <c r="A6" s="1" t="s">
        <v>40</v>
      </c>
      <c r="B6" s="22">
        <v>13868871</v>
      </c>
      <c r="C6" s="24">
        <v>597300</v>
      </c>
      <c r="D6" s="24">
        <v>169569</v>
      </c>
      <c r="E6" s="1" t="e">
        <f>VLOOKUP(B6,CXP!$C$2:$C$4,1,0)</f>
        <v>#N/A</v>
      </c>
      <c r="F6" s="1">
        <f>VLOOKUP(B6,GLOSAS!$C$2:$C$10,1,0)</f>
        <v>13868871</v>
      </c>
      <c r="G6" s="1">
        <f>VLOOKUP(B6,CANCELADAS!$C$2:$C$506,1,0)</f>
        <v>13868871</v>
      </c>
      <c r="H6" s="1" t="e">
        <f>VLOOKUP(B6,DEVOLUCIONES!$B$2:$B$40,1,0)</f>
        <v>#N/A</v>
      </c>
      <c r="I6" s="24">
        <v>169469</v>
      </c>
      <c r="J6" s="24"/>
      <c r="K6" s="24"/>
      <c r="L6" s="24"/>
      <c r="M6" s="24"/>
      <c r="N6" s="24"/>
      <c r="O6" s="24"/>
      <c r="P6" s="24"/>
      <c r="Q6" s="1"/>
      <c r="R6" s="1" t="s">
        <v>1744</v>
      </c>
      <c r="S6" s="1"/>
      <c r="T6" s="31">
        <f t="shared" si="0"/>
        <v>100</v>
      </c>
    </row>
    <row r="7" spans="1:22" x14ac:dyDescent="0.25">
      <c r="A7" s="1" t="s">
        <v>41</v>
      </c>
      <c r="B7" s="22">
        <v>13870182</v>
      </c>
      <c r="C7" s="24">
        <v>576975</v>
      </c>
      <c r="D7" s="24">
        <v>138159</v>
      </c>
      <c r="E7" s="1" t="e">
        <f>VLOOKUP(B7,CXP!$C$2:$C$4,1,0)</f>
        <v>#N/A</v>
      </c>
      <c r="F7" s="1">
        <f>VLOOKUP(B7,GLOSAS!$C$2:$C$10,1,0)</f>
        <v>13870182</v>
      </c>
      <c r="G7" s="1">
        <f>VLOOKUP(B7,CANCELADAS!$C$2:$C$506,1,0)</f>
        <v>13870182</v>
      </c>
      <c r="H7" s="1" t="e">
        <f>VLOOKUP(B7,DEVOLUCIONES!$B$2:$B$40,1,0)</f>
        <v>#N/A</v>
      </c>
      <c r="I7" s="24">
        <v>138159</v>
      </c>
      <c r="J7" s="24"/>
      <c r="K7" s="24"/>
      <c r="L7" s="24"/>
      <c r="M7" s="24"/>
      <c r="N7" s="24"/>
      <c r="O7" s="24"/>
      <c r="P7" s="24"/>
      <c r="Q7" s="1"/>
      <c r="R7" s="1"/>
      <c r="S7" s="1"/>
      <c r="T7" s="34">
        <f t="shared" si="0"/>
        <v>0</v>
      </c>
    </row>
    <row r="8" spans="1:22" x14ac:dyDescent="0.25">
      <c r="A8" s="1" t="s">
        <v>42</v>
      </c>
      <c r="B8" s="22">
        <v>13888877</v>
      </c>
      <c r="C8" s="24">
        <v>2314280</v>
      </c>
      <c r="D8" s="24">
        <v>385872</v>
      </c>
      <c r="E8" s="1" t="e">
        <f>VLOOKUP(B8,CXP!$C$2:$C$4,1,0)</f>
        <v>#N/A</v>
      </c>
      <c r="F8" s="1">
        <f>VLOOKUP(B8,GLOSAS!$C$2:$C$10,1,0)</f>
        <v>13888877</v>
      </c>
      <c r="G8" s="1">
        <f>VLOOKUP(B8,CANCELADAS!$C$2:$C$506,1,0)</f>
        <v>13888877</v>
      </c>
      <c r="H8" s="1" t="e">
        <f>VLOOKUP(B8,DEVOLUCIONES!$B$2:$B$40,1,0)</f>
        <v>#N/A</v>
      </c>
      <c r="I8" s="24">
        <v>385872</v>
      </c>
      <c r="J8" s="24"/>
      <c r="K8" s="24"/>
      <c r="L8" s="24"/>
      <c r="M8" s="24"/>
      <c r="N8" s="24"/>
      <c r="O8" s="24"/>
      <c r="P8" s="24"/>
      <c r="Q8" s="1"/>
      <c r="R8" s="1"/>
      <c r="S8" s="1"/>
      <c r="T8" s="34">
        <f t="shared" si="0"/>
        <v>0</v>
      </c>
    </row>
    <row r="9" spans="1:22" x14ac:dyDescent="0.25">
      <c r="A9" s="1" t="s">
        <v>43</v>
      </c>
      <c r="B9" s="22">
        <v>13908407</v>
      </c>
      <c r="C9" s="24">
        <v>253179</v>
      </c>
      <c r="D9" s="24">
        <v>253179</v>
      </c>
      <c r="E9" s="1" t="e">
        <f>VLOOKUP(B9,CXP!$C$2:$C$4,1,0)</f>
        <v>#N/A</v>
      </c>
      <c r="F9" s="1" t="e">
        <f>VLOOKUP(B9,GLOSAS!$C$2:$C$10,1,0)</f>
        <v>#N/A</v>
      </c>
      <c r="G9" s="1">
        <f>VLOOKUP(B9,CANCELADAS!$C$2:$C$506,1,0)</f>
        <v>13908407</v>
      </c>
      <c r="H9" s="1" t="e">
        <f>VLOOKUP(B9,DEVOLUCIONES!$B$2:$B$40,1,0)</f>
        <v>#N/A</v>
      </c>
      <c r="I9" s="24"/>
      <c r="J9" s="24"/>
      <c r="K9" s="24"/>
      <c r="L9" s="24"/>
      <c r="M9" s="24"/>
      <c r="N9" s="24"/>
      <c r="O9" s="24"/>
      <c r="P9" s="24">
        <v>253179</v>
      </c>
      <c r="Q9" s="1">
        <v>2000169385</v>
      </c>
      <c r="R9" s="1" t="s">
        <v>1730</v>
      </c>
      <c r="S9" s="1"/>
      <c r="T9" s="30">
        <f t="shared" si="0"/>
        <v>0</v>
      </c>
    </row>
    <row r="10" spans="1:22" x14ac:dyDescent="0.25">
      <c r="A10" s="1" t="s">
        <v>44</v>
      </c>
      <c r="B10" s="22">
        <v>13917101</v>
      </c>
      <c r="C10" s="24">
        <v>726708</v>
      </c>
      <c r="D10" s="24">
        <v>726708</v>
      </c>
      <c r="E10" s="1" t="e">
        <f>VLOOKUP(B10,CXP!$C$2:$C$4,1,0)</f>
        <v>#N/A</v>
      </c>
      <c r="F10" s="1" t="e">
        <f>VLOOKUP(B10,GLOSAS!$C$2:$C$10,1,0)</f>
        <v>#N/A</v>
      </c>
      <c r="G10" s="1">
        <f>VLOOKUP(B10,CANCELADAS!$C$2:$C$506,1,0)</f>
        <v>13917101</v>
      </c>
      <c r="H10" s="1" t="e">
        <f>VLOOKUP(B10,DEVOLUCIONES!$B$2:$B$40,1,0)</f>
        <v>#N/A</v>
      </c>
      <c r="I10" s="24"/>
      <c r="J10" s="24"/>
      <c r="K10" s="24"/>
      <c r="L10" s="24"/>
      <c r="M10" s="24"/>
      <c r="N10" s="24"/>
      <c r="O10" s="24"/>
      <c r="P10" s="24">
        <v>726708</v>
      </c>
      <c r="Q10" s="1">
        <v>2000169385</v>
      </c>
      <c r="R10" s="1" t="s">
        <v>1730</v>
      </c>
      <c r="S10" s="1"/>
      <c r="T10" s="30">
        <f t="shared" si="0"/>
        <v>0</v>
      </c>
    </row>
    <row r="11" spans="1:22" x14ac:dyDescent="0.25">
      <c r="A11" s="1" t="s">
        <v>45</v>
      </c>
      <c r="B11" s="22">
        <v>13919396</v>
      </c>
      <c r="C11" s="24">
        <v>59366</v>
      </c>
      <c r="D11" s="24">
        <v>59366</v>
      </c>
      <c r="E11" s="1" t="e">
        <f>VLOOKUP(B11,CXP!$C$2:$C$4,1,0)</f>
        <v>#N/A</v>
      </c>
      <c r="F11" s="1" t="e">
        <f>VLOOKUP(B11,GLOSAS!$C$2:$C$10,1,0)</f>
        <v>#N/A</v>
      </c>
      <c r="G11" s="1">
        <f>VLOOKUP(B11,CANCELADAS!$C$2:$C$506,1,0)</f>
        <v>13919396</v>
      </c>
      <c r="H11" s="1" t="e">
        <f>VLOOKUP(B11,DEVOLUCIONES!$B$2:$B$40,1,0)</f>
        <v>#N/A</v>
      </c>
      <c r="I11" s="24"/>
      <c r="J11" s="24"/>
      <c r="K11" s="24"/>
      <c r="L11" s="24"/>
      <c r="M11" s="24"/>
      <c r="N11" s="24"/>
      <c r="O11" s="24"/>
      <c r="P11" s="24">
        <v>59366</v>
      </c>
      <c r="Q11" s="1">
        <v>2000169385</v>
      </c>
      <c r="R11" s="1" t="s">
        <v>1730</v>
      </c>
      <c r="S11" s="1"/>
      <c r="T11" s="30">
        <f t="shared" si="0"/>
        <v>0</v>
      </c>
    </row>
    <row r="12" spans="1:22" x14ac:dyDescent="0.25">
      <c r="A12" s="1" t="s">
        <v>46</v>
      </c>
      <c r="B12" s="22">
        <v>13919432</v>
      </c>
      <c r="C12" s="24">
        <v>134864</v>
      </c>
      <c r="D12" s="24">
        <v>134864</v>
      </c>
      <c r="E12" s="1" t="e">
        <f>VLOOKUP(B12,CXP!$C$2:$C$4,1,0)</f>
        <v>#N/A</v>
      </c>
      <c r="F12" s="1" t="e">
        <f>VLOOKUP(B12,GLOSAS!$C$2:$C$10,1,0)</f>
        <v>#N/A</v>
      </c>
      <c r="G12" s="1">
        <f>VLOOKUP(B12,CANCELADAS!$C$2:$C$506,1,0)</f>
        <v>13919432</v>
      </c>
      <c r="H12" s="1" t="e">
        <f>VLOOKUP(B12,DEVOLUCIONES!$B$2:$B$40,1,0)</f>
        <v>#N/A</v>
      </c>
      <c r="I12" s="24"/>
      <c r="J12" s="24"/>
      <c r="K12" s="24"/>
      <c r="L12" s="24"/>
      <c r="M12" s="24"/>
      <c r="N12" s="24"/>
      <c r="O12" s="24"/>
      <c r="P12" s="24">
        <v>134864</v>
      </c>
      <c r="Q12" s="1">
        <v>2000169385</v>
      </c>
      <c r="R12" s="1" t="s">
        <v>1730</v>
      </c>
      <c r="S12" s="1"/>
      <c r="T12" s="30">
        <f t="shared" si="0"/>
        <v>0</v>
      </c>
    </row>
    <row r="13" spans="1:22" x14ac:dyDescent="0.25">
      <c r="A13" s="1" t="s">
        <v>47</v>
      </c>
      <c r="B13" s="22">
        <v>13956581</v>
      </c>
      <c r="C13" s="24">
        <v>168084</v>
      </c>
      <c r="D13" s="24">
        <v>168084</v>
      </c>
      <c r="E13" s="1" t="e">
        <f>VLOOKUP(B13,CXP!$C$2:$C$4,1,0)</f>
        <v>#N/A</v>
      </c>
      <c r="F13" s="1" t="e">
        <f>VLOOKUP(B13,GLOSAS!$C$2:$C$10,1,0)</f>
        <v>#N/A</v>
      </c>
      <c r="G13" s="1">
        <f>VLOOKUP(B13,CANCELADAS!$C$2:$C$506,1,0)</f>
        <v>13956581</v>
      </c>
      <c r="H13" s="1" t="e">
        <f>VLOOKUP(B13,DEVOLUCIONES!$B$2:$B$40,1,0)</f>
        <v>#N/A</v>
      </c>
      <c r="I13" s="24"/>
      <c r="J13" s="24"/>
      <c r="K13" s="24"/>
      <c r="L13" s="24"/>
      <c r="M13" s="24"/>
      <c r="N13" s="24"/>
      <c r="O13" s="24"/>
      <c r="P13" s="24">
        <v>168084</v>
      </c>
      <c r="Q13" s="1">
        <v>2000324561</v>
      </c>
      <c r="R13" s="1" t="s">
        <v>1736</v>
      </c>
      <c r="S13" s="1"/>
      <c r="T13" s="30">
        <f t="shared" si="0"/>
        <v>0</v>
      </c>
    </row>
    <row r="14" spans="1:22" x14ac:dyDescent="0.25">
      <c r="A14" s="1" t="s">
        <v>48</v>
      </c>
      <c r="B14" s="22">
        <v>13962507</v>
      </c>
      <c r="C14" s="24">
        <v>108666</v>
      </c>
      <c r="D14" s="24">
        <v>108666</v>
      </c>
      <c r="E14" s="1" t="e">
        <f>VLOOKUP(B14,CXP!$C$2:$C$4,1,0)</f>
        <v>#N/A</v>
      </c>
      <c r="F14" s="1" t="e">
        <f>VLOOKUP(B14,GLOSAS!$C$2:$C$10,1,0)</f>
        <v>#N/A</v>
      </c>
      <c r="G14" s="1">
        <f>VLOOKUP(B14,CANCELADAS!$C$2:$C$506,1,0)</f>
        <v>13962507</v>
      </c>
      <c r="H14" s="1" t="e">
        <f>VLOOKUP(B14,DEVOLUCIONES!$B$2:$B$40,1,0)</f>
        <v>#N/A</v>
      </c>
      <c r="I14" s="24"/>
      <c r="J14" s="24"/>
      <c r="K14" s="24"/>
      <c r="L14" s="24"/>
      <c r="M14" s="24"/>
      <c r="N14" s="24"/>
      <c r="O14" s="24"/>
      <c r="P14" s="24">
        <v>108666</v>
      </c>
      <c r="Q14" s="1">
        <v>2000324561</v>
      </c>
      <c r="R14" s="1" t="s">
        <v>1736</v>
      </c>
      <c r="S14" s="1"/>
      <c r="T14" s="30">
        <f t="shared" si="0"/>
        <v>0</v>
      </c>
    </row>
    <row r="15" spans="1:22" x14ac:dyDescent="0.25">
      <c r="A15" s="1" t="s">
        <v>49</v>
      </c>
      <c r="B15" s="22">
        <v>13964124</v>
      </c>
      <c r="C15" s="24">
        <v>54871</v>
      </c>
      <c r="D15" s="24">
        <v>54871</v>
      </c>
      <c r="E15" s="1" t="e">
        <f>VLOOKUP(B15,CXP!$C$2:$C$4,1,0)</f>
        <v>#N/A</v>
      </c>
      <c r="F15" s="1" t="e">
        <f>VLOOKUP(B15,GLOSAS!$C$2:$C$10,1,0)</f>
        <v>#N/A</v>
      </c>
      <c r="G15" s="1">
        <f>VLOOKUP(B15,CANCELADAS!$C$2:$C$506,1,0)</f>
        <v>13964124</v>
      </c>
      <c r="H15" s="1" t="e">
        <f>VLOOKUP(B15,DEVOLUCIONES!$B$2:$B$40,1,0)</f>
        <v>#N/A</v>
      </c>
      <c r="I15" s="24"/>
      <c r="J15" s="24"/>
      <c r="K15" s="24"/>
      <c r="L15" s="24"/>
      <c r="M15" s="24"/>
      <c r="N15" s="24"/>
      <c r="O15" s="24"/>
      <c r="P15" s="24">
        <v>54871</v>
      </c>
      <c r="Q15" s="1">
        <v>2000289506</v>
      </c>
      <c r="R15" s="1" t="s">
        <v>1734</v>
      </c>
      <c r="S15" s="1"/>
      <c r="T15" s="30">
        <f t="shared" si="0"/>
        <v>0</v>
      </c>
    </row>
    <row r="16" spans="1:22" x14ac:dyDescent="0.25">
      <c r="A16" s="1" t="s">
        <v>50</v>
      </c>
      <c r="B16" s="22">
        <v>13985748</v>
      </c>
      <c r="C16" s="24">
        <v>285100</v>
      </c>
      <c r="D16" s="24">
        <v>79200</v>
      </c>
      <c r="E16" s="1" t="e">
        <f>VLOOKUP(B16,CXP!$C$2:$C$4,1,0)</f>
        <v>#N/A</v>
      </c>
      <c r="F16" s="1">
        <f>VLOOKUP(B16,GLOSAS!$C$2:$C$10,1,0)</f>
        <v>13985748</v>
      </c>
      <c r="G16" s="1">
        <f>VLOOKUP(B16,CANCELADAS!$C$2:$C$506,1,0)</f>
        <v>13985748</v>
      </c>
      <c r="H16" s="1" t="e">
        <f>VLOOKUP(B16,DEVOLUCIONES!$B$2:$B$40,1,0)</f>
        <v>#N/A</v>
      </c>
      <c r="I16" s="24"/>
      <c r="J16" s="24"/>
      <c r="K16" s="24"/>
      <c r="L16" s="24"/>
      <c r="M16" s="24"/>
      <c r="N16" s="24">
        <v>79200</v>
      </c>
      <c r="O16" s="24"/>
      <c r="P16" s="24"/>
      <c r="Q16" s="1"/>
      <c r="R16" s="1"/>
      <c r="S16" s="1"/>
      <c r="T16" s="30">
        <f t="shared" si="0"/>
        <v>0</v>
      </c>
    </row>
    <row r="17" spans="1:20" x14ac:dyDescent="0.25">
      <c r="A17" s="1" t="s">
        <v>51</v>
      </c>
      <c r="B17" s="22">
        <v>13987467</v>
      </c>
      <c r="C17" s="24">
        <v>136303</v>
      </c>
      <c r="D17" s="24">
        <v>136303</v>
      </c>
      <c r="E17" s="1" t="e">
        <f>VLOOKUP(B17,CXP!$C$2:$C$4,1,0)</f>
        <v>#N/A</v>
      </c>
      <c r="F17" s="1" t="e">
        <f>VLOOKUP(B17,GLOSAS!$C$2:$C$10,1,0)</f>
        <v>#N/A</v>
      </c>
      <c r="G17" s="1">
        <f>VLOOKUP(B17,CANCELADAS!$C$2:$C$506,1,0)</f>
        <v>13987467</v>
      </c>
      <c r="H17" s="1" t="e">
        <f>VLOOKUP(B17,DEVOLUCIONES!$B$2:$B$40,1,0)</f>
        <v>#N/A</v>
      </c>
      <c r="I17" s="24"/>
      <c r="J17" s="24"/>
      <c r="K17" s="24"/>
      <c r="L17" s="24"/>
      <c r="M17" s="24"/>
      <c r="N17" s="24"/>
      <c r="O17" s="24"/>
      <c r="P17" s="33">
        <v>136303</v>
      </c>
      <c r="Q17" s="1" t="s">
        <v>1724</v>
      </c>
      <c r="R17" s="1" t="s">
        <v>1734</v>
      </c>
      <c r="S17" s="1"/>
      <c r="T17" s="30">
        <f t="shared" si="0"/>
        <v>0</v>
      </c>
    </row>
    <row r="18" spans="1:20" x14ac:dyDescent="0.25">
      <c r="A18" s="1" t="s">
        <v>52</v>
      </c>
      <c r="B18" s="22">
        <v>13992344</v>
      </c>
      <c r="C18" s="24">
        <v>1430415</v>
      </c>
      <c r="D18" s="24">
        <v>1430415</v>
      </c>
      <c r="E18" s="1" t="e">
        <f>VLOOKUP(B18,CXP!$C$2:$C$4,1,0)</f>
        <v>#N/A</v>
      </c>
      <c r="F18" s="1" t="e">
        <f>VLOOKUP(B18,GLOSAS!$C$2:$C$10,1,0)</f>
        <v>#N/A</v>
      </c>
      <c r="G18" s="1" t="e">
        <f>VLOOKUP(B18,CANCELADAS!$C$2:$C$506,1,0)</f>
        <v>#N/A</v>
      </c>
      <c r="H18" s="1">
        <f>VLOOKUP(B18,DEVOLUCIONES!$B$2:$B$40,1,0)</f>
        <v>13992344</v>
      </c>
      <c r="I18" s="24"/>
      <c r="J18" s="24">
        <v>1430415</v>
      </c>
      <c r="K18" s="24"/>
      <c r="L18" s="24"/>
      <c r="M18" s="24"/>
      <c r="N18" s="24"/>
      <c r="O18" s="24"/>
      <c r="P18" s="24"/>
      <c r="Q18" s="1" t="s">
        <v>1771</v>
      </c>
      <c r="R18" s="1" t="s">
        <v>1770</v>
      </c>
      <c r="S18" s="1"/>
      <c r="T18" s="30">
        <f t="shared" si="0"/>
        <v>0</v>
      </c>
    </row>
    <row r="19" spans="1:20" x14ac:dyDescent="0.25">
      <c r="A19" s="1" t="s">
        <v>53</v>
      </c>
      <c r="B19" s="22">
        <v>13996573</v>
      </c>
      <c r="C19" s="24">
        <v>195948</v>
      </c>
      <c r="D19" s="24">
        <v>195948</v>
      </c>
      <c r="E19" s="1" t="e">
        <f>VLOOKUP(B19,CXP!$C$2:$C$4,1,0)</f>
        <v>#N/A</v>
      </c>
      <c r="F19" s="1" t="e">
        <f>VLOOKUP(B19,GLOSAS!$C$2:$C$10,1,0)</f>
        <v>#N/A</v>
      </c>
      <c r="G19" s="1">
        <f>VLOOKUP(B19,CANCELADAS!$C$2:$C$506,1,0)</f>
        <v>13996573</v>
      </c>
      <c r="H19" s="1" t="e">
        <f>VLOOKUP(B19,DEVOLUCIONES!$B$2:$B$40,1,0)</f>
        <v>#N/A</v>
      </c>
      <c r="I19" s="24"/>
      <c r="J19" s="24"/>
      <c r="K19" s="24"/>
      <c r="L19" s="24"/>
      <c r="M19" s="24"/>
      <c r="N19" s="24"/>
      <c r="O19" s="24"/>
      <c r="P19" s="24">
        <v>195948</v>
      </c>
      <c r="Q19" s="1">
        <v>2000324561</v>
      </c>
      <c r="R19" s="1" t="s">
        <v>1738</v>
      </c>
      <c r="S19" s="1"/>
      <c r="T19" s="30">
        <f t="shared" si="0"/>
        <v>0</v>
      </c>
    </row>
    <row r="20" spans="1:20" x14ac:dyDescent="0.25">
      <c r="A20" s="1" t="s">
        <v>54</v>
      </c>
      <c r="B20" s="22">
        <v>14000927</v>
      </c>
      <c r="C20" s="24">
        <v>148584</v>
      </c>
      <c r="D20" s="24">
        <v>148584</v>
      </c>
      <c r="E20" s="1" t="e">
        <f>VLOOKUP(B20,CXP!$C$2:$C$4,1,0)</f>
        <v>#N/A</v>
      </c>
      <c r="F20" s="1" t="e">
        <f>VLOOKUP(B20,GLOSAS!$C$2:$C$10,1,0)</f>
        <v>#N/A</v>
      </c>
      <c r="G20" s="1">
        <f>VLOOKUP(B20,CANCELADAS!$C$2:$C$506,1,0)</f>
        <v>14000927</v>
      </c>
      <c r="H20" s="1" t="e">
        <f>VLOOKUP(B20,DEVOLUCIONES!$B$2:$B$40,1,0)</f>
        <v>#N/A</v>
      </c>
      <c r="I20" s="24"/>
      <c r="J20" s="24"/>
      <c r="K20" s="24"/>
      <c r="L20" s="24"/>
      <c r="M20" s="24"/>
      <c r="N20" s="24"/>
      <c r="O20" s="24"/>
      <c r="P20" s="24">
        <v>148584</v>
      </c>
      <c r="Q20" s="1">
        <v>2000324561</v>
      </c>
      <c r="R20" s="1" t="s">
        <v>1736</v>
      </c>
      <c r="S20" s="1"/>
      <c r="T20" s="30">
        <f t="shared" si="0"/>
        <v>0</v>
      </c>
    </row>
    <row r="21" spans="1:20" x14ac:dyDescent="0.25">
      <c r="A21" s="1" t="s">
        <v>55</v>
      </c>
      <c r="B21" s="22">
        <v>14003145</v>
      </c>
      <c r="C21" s="24">
        <v>238922</v>
      </c>
      <c r="D21" s="24">
        <v>238922</v>
      </c>
      <c r="E21" s="1" t="e">
        <f>VLOOKUP(B21,CXP!$C$2:$C$4,1,0)</f>
        <v>#N/A</v>
      </c>
      <c r="F21" s="1" t="e">
        <f>VLOOKUP(B21,GLOSAS!$C$2:$C$10,1,0)</f>
        <v>#N/A</v>
      </c>
      <c r="G21" s="1">
        <f>VLOOKUP(B21,CANCELADAS!$C$2:$C$506,1,0)</f>
        <v>14003145</v>
      </c>
      <c r="H21" s="1" t="e">
        <f>VLOOKUP(B21,DEVOLUCIONES!$B$2:$B$40,1,0)</f>
        <v>#N/A</v>
      </c>
      <c r="I21" s="24"/>
      <c r="J21" s="24"/>
      <c r="K21" s="24"/>
      <c r="L21" s="24"/>
      <c r="M21" s="24"/>
      <c r="N21" s="24"/>
      <c r="O21" s="24"/>
      <c r="P21" s="24">
        <v>238922</v>
      </c>
      <c r="Q21" s="1">
        <v>2000324561</v>
      </c>
      <c r="R21" s="1" t="s">
        <v>1736</v>
      </c>
      <c r="S21" s="1"/>
      <c r="T21" s="30">
        <f t="shared" si="0"/>
        <v>0</v>
      </c>
    </row>
    <row r="22" spans="1:20" x14ac:dyDescent="0.25">
      <c r="A22" s="1" t="s">
        <v>56</v>
      </c>
      <c r="B22" s="22">
        <v>14010076</v>
      </c>
      <c r="C22" s="24">
        <v>402981</v>
      </c>
      <c r="D22" s="24">
        <v>227751</v>
      </c>
      <c r="E22" s="1" t="e">
        <f>VLOOKUP(B22,CXP!$C$2:$C$4,1,0)</f>
        <v>#N/A</v>
      </c>
      <c r="F22" s="1" t="e">
        <f>VLOOKUP(B22,GLOSAS!$C$2:$C$10,1,0)</f>
        <v>#N/A</v>
      </c>
      <c r="G22" s="1">
        <f>VLOOKUP(B22,CANCELADAS!$C$2:$C$506,1,0)</f>
        <v>14010076</v>
      </c>
      <c r="H22" s="1" t="e">
        <f>VLOOKUP(B22,DEVOLUCIONES!$B$2:$B$40,1,0)</f>
        <v>#N/A</v>
      </c>
      <c r="I22" s="24"/>
      <c r="J22" s="24"/>
      <c r="K22" s="24"/>
      <c r="L22" s="24"/>
      <c r="M22" s="24"/>
      <c r="N22" s="24"/>
      <c r="O22" s="24"/>
      <c r="P22" s="24">
        <v>227751</v>
      </c>
      <c r="Q22" s="1">
        <v>2000299817</v>
      </c>
      <c r="R22" s="1" t="s">
        <v>1735</v>
      </c>
      <c r="S22" s="1"/>
      <c r="T22" s="30">
        <f t="shared" si="0"/>
        <v>0</v>
      </c>
    </row>
    <row r="23" spans="1:20" x14ac:dyDescent="0.25">
      <c r="A23" s="1" t="s">
        <v>57</v>
      </c>
      <c r="B23" s="22">
        <v>14011373</v>
      </c>
      <c r="C23" s="24">
        <v>123630</v>
      </c>
      <c r="D23" s="24">
        <v>123630</v>
      </c>
      <c r="E23" s="1" t="e">
        <f>VLOOKUP(B23,CXP!$C$2:$C$4,1,0)</f>
        <v>#N/A</v>
      </c>
      <c r="F23" s="1" t="e">
        <f>VLOOKUP(B23,GLOSAS!$C$2:$C$10,1,0)</f>
        <v>#N/A</v>
      </c>
      <c r="G23" s="1">
        <f>VLOOKUP(B23,CANCELADAS!$C$2:$C$506,1,0)</f>
        <v>14011373</v>
      </c>
      <c r="H23" s="1" t="e">
        <f>VLOOKUP(B23,DEVOLUCIONES!$B$2:$B$40,1,0)</f>
        <v>#N/A</v>
      </c>
      <c r="I23" s="24"/>
      <c r="J23" s="24"/>
      <c r="K23" s="24"/>
      <c r="L23" s="24"/>
      <c r="M23" s="24"/>
      <c r="N23" s="24"/>
      <c r="O23" s="24"/>
      <c r="P23" s="24">
        <v>123630</v>
      </c>
      <c r="Q23" s="1">
        <v>2000324561</v>
      </c>
      <c r="R23" s="1" t="s">
        <v>1736</v>
      </c>
      <c r="S23" s="1"/>
      <c r="T23" s="30">
        <f t="shared" si="0"/>
        <v>0</v>
      </c>
    </row>
    <row r="24" spans="1:20" x14ac:dyDescent="0.25">
      <c r="A24" s="1" t="s">
        <v>58</v>
      </c>
      <c r="B24" s="22">
        <v>14017815</v>
      </c>
      <c r="C24" s="24">
        <v>870400</v>
      </c>
      <c r="D24" s="24">
        <v>870400</v>
      </c>
      <c r="E24" s="1" t="e">
        <f>VLOOKUP(B24,CXP!$C$2:$C$4,1,0)</f>
        <v>#N/A</v>
      </c>
      <c r="F24" s="1">
        <f>VLOOKUP(B24,GLOSAS!$C$2:$C$10,1,0)</f>
        <v>14017815</v>
      </c>
      <c r="G24" s="1">
        <f>VLOOKUP(B24,CANCELADAS!$C$2:$C$506,1,0)</f>
        <v>14017815</v>
      </c>
      <c r="H24" s="1" t="e">
        <f>VLOOKUP(B24,DEVOLUCIONES!$B$2:$B$40,1,0)</f>
        <v>#N/A</v>
      </c>
      <c r="I24" s="24">
        <v>115200</v>
      </c>
      <c r="J24" s="24"/>
      <c r="K24" s="24"/>
      <c r="L24" s="24"/>
      <c r="M24" s="24"/>
      <c r="N24" s="24">
        <v>158400</v>
      </c>
      <c r="O24" s="24"/>
      <c r="P24" s="33">
        <v>596800</v>
      </c>
      <c r="Q24" s="1" t="s">
        <v>1725</v>
      </c>
      <c r="R24" s="1" t="s">
        <v>1745</v>
      </c>
      <c r="S24" s="1"/>
      <c r="T24" s="30">
        <f t="shared" si="0"/>
        <v>0</v>
      </c>
    </row>
    <row r="25" spans="1:20" x14ac:dyDescent="0.25">
      <c r="A25" s="1" t="s">
        <v>59</v>
      </c>
      <c r="B25" s="22">
        <v>14032583</v>
      </c>
      <c r="C25" s="24">
        <v>54400</v>
      </c>
      <c r="D25" s="24">
        <v>54400</v>
      </c>
      <c r="E25" s="1" t="e">
        <f>VLOOKUP(B25,CXP!$C$2:$C$4,1,0)</f>
        <v>#N/A</v>
      </c>
      <c r="F25" s="1" t="e">
        <f>VLOOKUP(B25,GLOSAS!$C$2:$C$10,1,0)</f>
        <v>#N/A</v>
      </c>
      <c r="G25" s="1" t="e">
        <f>VLOOKUP(B25,CANCELADAS!$C$2:$C$506,1,0)</f>
        <v>#N/A</v>
      </c>
      <c r="H25" s="1" t="e">
        <f>VLOOKUP(B25,DEVOLUCIONES!$B$2:$B$40,1,0)</f>
        <v>#N/A</v>
      </c>
      <c r="I25" s="24"/>
      <c r="J25" s="24"/>
      <c r="K25" s="24"/>
      <c r="L25" s="24">
        <f>+D25</f>
        <v>54400</v>
      </c>
      <c r="M25" s="24"/>
      <c r="N25" s="24"/>
      <c r="O25" s="24"/>
      <c r="P25" s="24"/>
      <c r="Q25" s="1"/>
      <c r="R25" s="1" t="s">
        <v>1865</v>
      </c>
      <c r="S25" s="1"/>
      <c r="T25" s="30">
        <f t="shared" si="0"/>
        <v>0</v>
      </c>
    </row>
    <row r="26" spans="1:20" x14ac:dyDescent="0.25">
      <c r="A26" s="1" t="s">
        <v>60</v>
      </c>
      <c r="B26" s="22">
        <v>14033382</v>
      </c>
      <c r="C26" s="24">
        <v>54400</v>
      </c>
      <c r="D26" s="24">
        <v>24259</v>
      </c>
      <c r="E26" s="1" t="e">
        <f>VLOOKUP(B26,CXP!$C$2:$C$4,1,0)</f>
        <v>#N/A</v>
      </c>
      <c r="F26" s="1" t="e">
        <f>VLOOKUP(B26,GLOSAS!$C$2:$C$10,1,0)</f>
        <v>#N/A</v>
      </c>
      <c r="G26" s="1">
        <f>VLOOKUP(B26,CANCELADAS!$C$2:$C$506,1,0)</f>
        <v>14033382</v>
      </c>
      <c r="H26" s="1" t="e">
        <f>VLOOKUP(B26,DEVOLUCIONES!$B$2:$B$40,1,0)</f>
        <v>#N/A</v>
      </c>
      <c r="I26" s="24"/>
      <c r="J26" s="24"/>
      <c r="K26" s="24"/>
      <c r="L26" s="24"/>
      <c r="M26" s="24"/>
      <c r="N26" s="24"/>
      <c r="O26" s="24"/>
      <c r="P26" s="24">
        <v>24259</v>
      </c>
      <c r="Q26" s="1">
        <v>2000289501</v>
      </c>
      <c r="R26" s="1" t="s">
        <v>1733</v>
      </c>
      <c r="S26" s="1"/>
      <c r="T26" s="30">
        <f t="shared" si="0"/>
        <v>0</v>
      </c>
    </row>
    <row r="27" spans="1:20" x14ac:dyDescent="0.25">
      <c r="A27" s="1" t="s">
        <v>61</v>
      </c>
      <c r="B27" s="22">
        <v>14035526</v>
      </c>
      <c r="C27" s="24">
        <v>47800</v>
      </c>
      <c r="D27" s="24">
        <v>47800</v>
      </c>
      <c r="E27" s="1" t="e">
        <f>VLOOKUP(B27,CXP!$C$2:$C$4,1,0)</f>
        <v>#N/A</v>
      </c>
      <c r="F27" s="1" t="e">
        <f>VLOOKUP(B27,GLOSAS!$C$2:$C$10,1,0)</f>
        <v>#N/A</v>
      </c>
      <c r="G27" s="1">
        <f>VLOOKUP(B27,CANCELADAS!$C$2:$C$506,1,0)</f>
        <v>14035526</v>
      </c>
      <c r="H27" s="1" t="e">
        <f>VLOOKUP(B27,DEVOLUCIONES!$B$2:$B$40,1,0)</f>
        <v>#N/A</v>
      </c>
      <c r="I27" s="24"/>
      <c r="J27" s="24"/>
      <c r="K27" s="24"/>
      <c r="L27" s="24"/>
      <c r="M27" s="24"/>
      <c r="N27" s="24"/>
      <c r="O27" s="24"/>
      <c r="P27" s="33">
        <v>47800</v>
      </c>
      <c r="Q27" s="1" t="s">
        <v>1726</v>
      </c>
      <c r="R27" s="1" t="s">
        <v>1739</v>
      </c>
      <c r="S27" s="1"/>
      <c r="T27" s="30">
        <f t="shared" si="0"/>
        <v>0</v>
      </c>
    </row>
    <row r="28" spans="1:20" x14ac:dyDescent="0.25">
      <c r="A28" s="1" t="s">
        <v>62</v>
      </c>
      <c r="B28" s="22">
        <v>14039063</v>
      </c>
      <c r="C28" s="24">
        <v>140419</v>
      </c>
      <c r="D28" s="24">
        <v>140419</v>
      </c>
      <c r="E28" s="1" t="e">
        <f>VLOOKUP(B28,CXP!$C$2:$C$4,1,0)</f>
        <v>#N/A</v>
      </c>
      <c r="F28" s="1" t="e">
        <f>VLOOKUP(B28,GLOSAS!$C$2:$C$10,1,0)</f>
        <v>#N/A</v>
      </c>
      <c r="G28" s="1">
        <f>VLOOKUP(B28,CANCELADAS!$C$2:$C$506,1,0)</f>
        <v>14039063</v>
      </c>
      <c r="H28" s="1" t="e">
        <f>VLOOKUP(B28,DEVOLUCIONES!$B$2:$B$40,1,0)</f>
        <v>#N/A</v>
      </c>
      <c r="I28" s="24"/>
      <c r="J28" s="24"/>
      <c r="K28" s="24"/>
      <c r="L28" s="24"/>
      <c r="M28" s="24"/>
      <c r="N28" s="24"/>
      <c r="O28" s="24"/>
      <c r="P28" s="24">
        <v>140419</v>
      </c>
      <c r="Q28" s="1">
        <v>2000324562</v>
      </c>
      <c r="R28" s="1" t="s">
        <v>1737</v>
      </c>
      <c r="S28" s="1"/>
      <c r="T28" s="30">
        <f t="shared" si="0"/>
        <v>0</v>
      </c>
    </row>
    <row r="29" spans="1:20" x14ac:dyDescent="0.25">
      <c r="A29" s="1" t="s">
        <v>63</v>
      </c>
      <c r="B29" s="22">
        <v>14043994</v>
      </c>
      <c r="C29" s="24">
        <v>203483</v>
      </c>
      <c r="D29" s="24">
        <v>203483</v>
      </c>
      <c r="E29" s="1" t="e">
        <f>VLOOKUP(B29,CXP!$C$2:$C$4,1,0)</f>
        <v>#N/A</v>
      </c>
      <c r="F29" s="1" t="e">
        <f>VLOOKUP(B29,GLOSAS!$C$2:$C$10,1,0)</f>
        <v>#N/A</v>
      </c>
      <c r="G29" s="1" t="e">
        <f>VLOOKUP(B29,CANCELADAS!$C$2:$C$506,1,0)</f>
        <v>#N/A</v>
      </c>
      <c r="H29" s="1" t="e">
        <f>VLOOKUP(B29,DEVOLUCIONES!$B$2:$B$40,1,0)</f>
        <v>#N/A</v>
      </c>
      <c r="I29" s="24"/>
      <c r="J29" s="24"/>
      <c r="K29" s="24"/>
      <c r="L29" s="24">
        <f>+D29</f>
        <v>203483</v>
      </c>
      <c r="M29" s="24"/>
      <c r="N29" s="24"/>
      <c r="O29" s="24"/>
      <c r="P29" s="24"/>
      <c r="Q29" s="1"/>
      <c r="R29" s="1" t="s">
        <v>1865</v>
      </c>
      <c r="S29" s="1"/>
      <c r="T29" s="30">
        <f t="shared" si="0"/>
        <v>0</v>
      </c>
    </row>
    <row r="30" spans="1:20" x14ac:dyDescent="0.25">
      <c r="A30" s="1" t="s">
        <v>64</v>
      </c>
      <c r="B30" s="22">
        <v>14049496</v>
      </c>
      <c r="C30" s="24">
        <v>54400</v>
      </c>
      <c r="D30" s="24">
        <v>54400</v>
      </c>
      <c r="E30" s="1" t="e">
        <f>VLOOKUP(B30,CXP!$C$2:$C$4,1,0)</f>
        <v>#N/A</v>
      </c>
      <c r="F30" s="1" t="e">
        <f>VLOOKUP(B30,GLOSAS!$C$2:$C$10,1,0)</f>
        <v>#N/A</v>
      </c>
      <c r="G30" s="1">
        <f>VLOOKUP(B30,CANCELADAS!$C$2:$C$506,1,0)</f>
        <v>14049496</v>
      </c>
      <c r="H30" s="1" t="e">
        <f>VLOOKUP(B30,DEVOLUCIONES!$B$2:$B$40,1,0)</f>
        <v>#N/A</v>
      </c>
      <c r="I30" s="24"/>
      <c r="J30" s="24"/>
      <c r="K30" s="24"/>
      <c r="L30" s="24"/>
      <c r="M30" s="24"/>
      <c r="N30" s="24"/>
      <c r="O30" s="24"/>
      <c r="P30" s="24">
        <v>54400</v>
      </c>
      <c r="Q30" s="1">
        <v>2000324562</v>
      </c>
      <c r="R30" s="1" t="s">
        <v>1737</v>
      </c>
      <c r="S30" s="1"/>
      <c r="T30" s="30">
        <f t="shared" si="0"/>
        <v>0</v>
      </c>
    </row>
    <row r="31" spans="1:20" x14ac:dyDescent="0.25">
      <c r="A31" s="1" t="s">
        <v>65</v>
      </c>
      <c r="B31" s="22">
        <v>14053032</v>
      </c>
      <c r="C31" s="24">
        <v>54779</v>
      </c>
      <c r="D31" s="24">
        <v>54779</v>
      </c>
      <c r="E31" s="1" t="e">
        <f>VLOOKUP(B31,CXP!$C$2:$C$4,1,0)</f>
        <v>#N/A</v>
      </c>
      <c r="F31" s="1" t="e">
        <f>VLOOKUP(B31,GLOSAS!$C$2:$C$10,1,0)</f>
        <v>#N/A</v>
      </c>
      <c r="G31" s="1">
        <f>VLOOKUP(B31,CANCELADAS!$C$2:$C$506,1,0)</f>
        <v>14053032</v>
      </c>
      <c r="H31" s="1" t="e">
        <f>VLOOKUP(B31,DEVOLUCIONES!$B$2:$B$40,1,0)</f>
        <v>#N/A</v>
      </c>
      <c r="I31" s="24"/>
      <c r="J31" s="24"/>
      <c r="K31" s="24"/>
      <c r="L31" s="24"/>
      <c r="M31" s="24"/>
      <c r="N31" s="24"/>
      <c r="O31" s="24"/>
      <c r="P31" s="24">
        <v>54779</v>
      </c>
      <c r="Q31" s="1">
        <v>2000324562</v>
      </c>
      <c r="R31" s="1" t="s">
        <v>1737</v>
      </c>
      <c r="S31" s="1"/>
      <c r="T31" s="30">
        <f t="shared" si="0"/>
        <v>0</v>
      </c>
    </row>
    <row r="32" spans="1:20" x14ac:dyDescent="0.25">
      <c r="A32" s="1" t="s">
        <v>66</v>
      </c>
      <c r="B32" s="22">
        <v>14051741</v>
      </c>
      <c r="C32" s="24">
        <v>440835</v>
      </c>
      <c r="D32" s="24">
        <v>440835</v>
      </c>
      <c r="E32" s="1" t="e">
        <f>VLOOKUP(B32,CXP!$C$2:$C$4,1,0)</f>
        <v>#N/A</v>
      </c>
      <c r="F32" s="1">
        <f>VLOOKUP(B32,GLOSAS!$C$2:$C$10,1,0)</f>
        <v>14051741</v>
      </c>
      <c r="G32" s="1">
        <f>VLOOKUP(B32,CANCELADAS!$C$2:$C$506,1,0)</f>
        <v>14051741</v>
      </c>
      <c r="H32" s="1" t="e">
        <f>VLOOKUP(B32,DEVOLUCIONES!$B$2:$B$40,1,0)</f>
        <v>#N/A</v>
      </c>
      <c r="I32" s="24"/>
      <c r="J32" s="24"/>
      <c r="K32" s="24"/>
      <c r="L32" s="24"/>
      <c r="M32" s="24">
        <v>107800</v>
      </c>
      <c r="N32" s="24"/>
      <c r="O32" s="24"/>
      <c r="P32" s="33">
        <v>333035</v>
      </c>
      <c r="Q32" s="1" t="s">
        <v>1727</v>
      </c>
      <c r="R32" s="1" t="s">
        <v>1740</v>
      </c>
      <c r="S32" s="1"/>
      <c r="T32" s="30">
        <f t="shared" si="0"/>
        <v>0</v>
      </c>
    </row>
    <row r="33" spans="1:21" x14ac:dyDescent="0.25">
      <c r="A33" s="1" t="s">
        <v>67</v>
      </c>
      <c r="B33" s="22">
        <v>14055418</v>
      </c>
      <c r="C33" s="24">
        <v>68675</v>
      </c>
      <c r="D33" s="24">
        <v>68675</v>
      </c>
      <c r="E33" s="1" t="e">
        <f>VLOOKUP(B33,CXP!$C$2:$C$4,1,0)</f>
        <v>#N/A</v>
      </c>
      <c r="F33" s="1" t="e">
        <f>VLOOKUP(B33,GLOSAS!$C$2:$C$10,1,0)</f>
        <v>#N/A</v>
      </c>
      <c r="G33" s="1" t="e">
        <f>VLOOKUP(B33,CANCELADAS!$C$2:$C$506,1,0)</f>
        <v>#N/A</v>
      </c>
      <c r="H33" s="1" t="e">
        <f>VLOOKUP(B33,DEVOLUCIONES!$B$2:$B$40,1,0)</f>
        <v>#N/A</v>
      </c>
      <c r="I33" s="24"/>
      <c r="J33" s="24"/>
      <c r="K33" s="24"/>
      <c r="L33" s="24">
        <f>+D33</f>
        <v>68675</v>
      </c>
      <c r="M33" s="24"/>
      <c r="N33" s="24"/>
      <c r="O33" s="24"/>
      <c r="P33" s="24"/>
      <c r="Q33" s="1"/>
      <c r="R33" s="1" t="s">
        <v>1865</v>
      </c>
      <c r="S33" s="1"/>
      <c r="T33" s="30">
        <f t="shared" si="0"/>
        <v>0</v>
      </c>
    </row>
    <row r="34" spans="1:21" x14ac:dyDescent="0.25">
      <c r="A34" s="1" t="s">
        <v>68</v>
      </c>
      <c r="B34" s="22">
        <v>14056365</v>
      </c>
      <c r="C34" s="24">
        <v>33200</v>
      </c>
      <c r="D34" s="24">
        <v>33200</v>
      </c>
      <c r="E34" s="1" t="e">
        <f>VLOOKUP(B34,CXP!$C$2:$C$4,1,0)</f>
        <v>#N/A</v>
      </c>
      <c r="F34" s="1" t="e">
        <f>VLOOKUP(B34,GLOSAS!$C$2:$C$10,1,0)</f>
        <v>#N/A</v>
      </c>
      <c r="G34" s="1">
        <f>VLOOKUP(B34,CANCELADAS!$C$2:$C$506,1,0)</f>
        <v>14056365</v>
      </c>
      <c r="H34" s="1" t="e">
        <f>VLOOKUP(B34,DEVOLUCIONES!$B$2:$B$40,1,0)</f>
        <v>#N/A</v>
      </c>
      <c r="I34" s="24"/>
      <c r="J34" s="24"/>
      <c r="K34" s="24"/>
      <c r="L34" s="24"/>
      <c r="M34" s="24"/>
      <c r="N34" s="24"/>
      <c r="O34" s="24"/>
      <c r="P34" s="24">
        <v>33200</v>
      </c>
      <c r="Q34" s="1">
        <v>2000324562</v>
      </c>
      <c r="R34" s="1" t="s">
        <v>1737</v>
      </c>
      <c r="S34" s="1"/>
      <c r="T34" s="30">
        <f t="shared" si="0"/>
        <v>0</v>
      </c>
    </row>
    <row r="35" spans="1:21" x14ac:dyDescent="0.25">
      <c r="A35" s="1" t="s">
        <v>69</v>
      </c>
      <c r="B35" s="22">
        <v>14059388</v>
      </c>
      <c r="C35" s="24">
        <v>184213</v>
      </c>
      <c r="D35" s="24">
        <v>55098</v>
      </c>
      <c r="E35" s="1" t="e">
        <f>VLOOKUP(B35,CXP!$C$2:$C$4,1,0)</f>
        <v>#N/A</v>
      </c>
      <c r="F35" s="1" t="e">
        <f>VLOOKUP(B35,GLOSAS!$C$2:$C$10,1,0)</f>
        <v>#N/A</v>
      </c>
      <c r="G35" s="1">
        <f>VLOOKUP(B35,CANCELADAS!$C$2:$C$506,1,0)</f>
        <v>14059388</v>
      </c>
      <c r="H35" s="1" t="e">
        <f>VLOOKUP(B35,DEVOLUCIONES!$B$2:$B$40,1,0)</f>
        <v>#N/A</v>
      </c>
      <c r="I35" s="24"/>
      <c r="J35" s="24"/>
      <c r="K35" s="24"/>
      <c r="L35" s="24"/>
      <c r="M35" s="24"/>
      <c r="N35" s="24"/>
      <c r="O35" s="24"/>
      <c r="P35" s="24">
        <v>55098</v>
      </c>
      <c r="Q35" s="1">
        <v>2000324562</v>
      </c>
      <c r="R35" s="1" t="s">
        <v>1737</v>
      </c>
      <c r="S35" s="1"/>
      <c r="T35" s="30">
        <f t="shared" si="0"/>
        <v>0</v>
      </c>
    </row>
    <row r="36" spans="1:21" x14ac:dyDescent="0.25">
      <c r="A36" s="1" t="s">
        <v>70</v>
      </c>
      <c r="B36" s="22">
        <v>14060446</v>
      </c>
      <c r="C36" s="24">
        <v>47800</v>
      </c>
      <c r="D36" s="24">
        <v>47800</v>
      </c>
      <c r="E36" s="1" t="e">
        <f>VLOOKUP(B36,CXP!$C$2:$C$4,1,0)</f>
        <v>#N/A</v>
      </c>
      <c r="F36" s="1" t="e">
        <f>VLOOKUP(B36,GLOSAS!$C$2:$C$10,1,0)</f>
        <v>#N/A</v>
      </c>
      <c r="G36" s="1">
        <f>VLOOKUP(B36,CANCELADAS!$C$2:$C$506,1,0)</f>
        <v>14060446</v>
      </c>
      <c r="H36" s="1" t="e">
        <f>VLOOKUP(B36,DEVOLUCIONES!$B$2:$B$40,1,0)</f>
        <v>#N/A</v>
      </c>
      <c r="I36" s="24"/>
      <c r="J36" s="24"/>
      <c r="K36" s="24"/>
      <c r="L36" s="24"/>
      <c r="M36" s="24"/>
      <c r="N36" s="24"/>
      <c r="O36" s="24"/>
      <c r="P36" s="24">
        <v>47800</v>
      </c>
      <c r="Q36" s="1">
        <v>2000324562</v>
      </c>
      <c r="R36" s="1" t="s">
        <v>1737</v>
      </c>
      <c r="S36" s="1"/>
      <c r="T36" s="30">
        <f t="shared" si="0"/>
        <v>0</v>
      </c>
    </row>
    <row r="37" spans="1:21" x14ac:dyDescent="0.25">
      <c r="A37" s="1" t="s">
        <v>71</v>
      </c>
      <c r="B37" s="22">
        <v>14060526</v>
      </c>
      <c r="C37" s="24">
        <v>780300</v>
      </c>
      <c r="D37" s="24">
        <v>780300</v>
      </c>
      <c r="E37" s="1" t="e">
        <f>VLOOKUP(B37,CXP!$C$2:$C$4,1,0)</f>
        <v>#N/A</v>
      </c>
      <c r="F37" s="1" t="e">
        <f>VLOOKUP(B37,GLOSAS!$C$2:$C$10,1,0)</f>
        <v>#N/A</v>
      </c>
      <c r="G37" s="1">
        <f>VLOOKUP(B37,CANCELADAS!$C$2:$C$506,1,0)</f>
        <v>14060526</v>
      </c>
      <c r="H37" s="1" t="e">
        <f>VLOOKUP(B37,DEVOLUCIONES!$B$2:$B$40,1,0)</f>
        <v>#N/A</v>
      </c>
      <c r="I37" s="24"/>
      <c r="J37" s="24"/>
      <c r="K37" s="24"/>
      <c r="L37" s="24"/>
      <c r="M37" s="24"/>
      <c r="N37" s="24"/>
      <c r="O37" s="24"/>
      <c r="P37" s="24">
        <v>780300</v>
      </c>
      <c r="Q37" s="1">
        <v>2000324561</v>
      </c>
      <c r="R37" s="1" t="s">
        <v>1736</v>
      </c>
      <c r="S37" s="1"/>
      <c r="T37" s="30">
        <f t="shared" si="0"/>
        <v>0</v>
      </c>
    </row>
    <row r="38" spans="1:21" x14ac:dyDescent="0.25">
      <c r="A38" s="1" t="s">
        <v>72</v>
      </c>
      <c r="B38" s="22">
        <v>14060511</v>
      </c>
      <c r="C38" s="24">
        <v>2482749</v>
      </c>
      <c r="D38" s="24">
        <v>2482749</v>
      </c>
      <c r="E38" s="1" t="e">
        <f>VLOOKUP(B38,CXP!$C$2:$C$4,1,0)</f>
        <v>#N/A</v>
      </c>
      <c r="F38" s="1" t="e">
        <f>VLOOKUP(B38,GLOSAS!$C$2:$C$10,1,0)</f>
        <v>#N/A</v>
      </c>
      <c r="G38" s="1" t="e">
        <f>VLOOKUP(B38,CANCELADAS!$C$2:$C$506,1,0)</f>
        <v>#N/A</v>
      </c>
      <c r="H38" s="1">
        <f>VLOOKUP(B38,DEVOLUCIONES!$B$2:$B$40,1,0)</f>
        <v>14060511</v>
      </c>
      <c r="I38" s="24"/>
      <c r="J38" s="24">
        <v>2482749</v>
      </c>
      <c r="K38" s="24"/>
      <c r="L38" s="24"/>
      <c r="M38" s="24"/>
      <c r="N38" s="24"/>
      <c r="O38" s="24"/>
      <c r="P38" s="24"/>
      <c r="Q38" s="1" t="s">
        <v>1814</v>
      </c>
      <c r="R38" s="1" t="s">
        <v>1813</v>
      </c>
      <c r="S38" s="1"/>
      <c r="T38" s="30">
        <f t="shared" si="0"/>
        <v>0</v>
      </c>
    </row>
    <row r="39" spans="1:21" x14ac:dyDescent="0.25">
      <c r="A39" s="1" t="s">
        <v>73</v>
      </c>
      <c r="B39" s="22">
        <v>14061332</v>
      </c>
      <c r="C39" s="24">
        <v>47800</v>
      </c>
      <c r="D39" s="24">
        <v>47800</v>
      </c>
      <c r="E39" s="1" t="e">
        <f>VLOOKUP(B39,CXP!$C$2:$C$4,1,0)</f>
        <v>#N/A</v>
      </c>
      <c r="F39" s="1" t="e">
        <f>VLOOKUP(B39,GLOSAS!$C$2:$C$10,1,0)</f>
        <v>#N/A</v>
      </c>
      <c r="G39" s="1">
        <f>VLOOKUP(B39,CANCELADAS!$C$2:$C$506,1,0)</f>
        <v>14061332</v>
      </c>
      <c r="H39" s="1" t="e">
        <f>VLOOKUP(B39,DEVOLUCIONES!$B$2:$B$40,1,0)</f>
        <v>#N/A</v>
      </c>
      <c r="I39" s="24"/>
      <c r="J39" s="24"/>
      <c r="K39" s="24"/>
      <c r="L39" s="24"/>
      <c r="M39" s="24"/>
      <c r="N39" s="24"/>
      <c r="O39" s="24"/>
      <c r="P39" s="24">
        <v>47800</v>
      </c>
      <c r="Q39" s="1">
        <v>2000324562</v>
      </c>
      <c r="R39" s="1" t="s">
        <v>1737</v>
      </c>
      <c r="S39" s="1"/>
      <c r="T39" s="30">
        <f t="shared" si="0"/>
        <v>0</v>
      </c>
    </row>
    <row r="40" spans="1:21" x14ac:dyDescent="0.25">
      <c r="A40" s="1" t="s">
        <v>74</v>
      </c>
      <c r="B40" s="22">
        <v>14061732</v>
      </c>
      <c r="C40" s="24">
        <v>1217943</v>
      </c>
      <c r="D40" s="24">
        <v>1036073</v>
      </c>
      <c r="E40" s="1" t="e">
        <f>VLOOKUP(B40,CXP!$C$2:$C$4,1,0)</f>
        <v>#N/A</v>
      </c>
      <c r="F40" s="1">
        <f>VLOOKUP(B40,GLOSAS!$C$2:$C$10,1,0)</f>
        <v>14061732</v>
      </c>
      <c r="G40" s="1">
        <f>VLOOKUP(B40,CANCELADAS!$C$2:$C$506,1,0)</f>
        <v>14061732</v>
      </c>
      <c r="H40" s="1" t="e">
        <f>VLOOKUP(B40,DEVOLUCIONES!$B$2:$B$40,1,0)</f>
        <v>#N/A</v>
      </c>
      <c r="I40" s="24"/>
      <c r="J40" s="24"/>
      <c r="K40" s="24"/>
      <c r="L40" s="24"/>
      <c r="M40" s="24">
        <v>79200</v>
      </c>
      <c r="N40" s="24"/>
      <c r="O40" s="24"/>
      <c r="P40" s="24">
        <v>1138743</v>
      </c>
      <c r="Q40" s="1">
        <v>2000324562</v>
      </c>
      <c r="R40" s="1" t="s">
        <v>1737</v>
      </c>
      <c r="S40" s="1"/>
      <c r="T40" s="31">
        <f t="shared" si="0"/>
        <v>-181870</v>
      </c>
      <c r="U40" s="30"/>
    </row>
    <row r="41" spans="1:21" x14ac:dyDescent="0.25">
      <c r="A41" s="1" t="s">
        <v>75</v>
      </c>
      <c r="B41" s="22">
        <v>14071101</v>
      </c>
      <c r="C41" s="24">
        <v>543210</v>
      </c>
      <c r="D41" s="24">
        <v>543210</v>
      </c>
      <c r="E41" s="1" t="e">
        <f>VLOOKUP(B41,CXP!$C$2:$C$4,1,0)</f>
        <v>#N/A</v>
      </c>
      <c r="F41" s="1" t="e">
        <f>VLOOKUP(B41,GLOSAS!$C$2:$C$10,1,0)</f>
        <v>#N/A</v>
      </c>
      <c r="G41" s="1">
        <f>VLOOKUP(B41,CANCELADAS!$C$2:$C$506,1,0)</f>
        <v>14071101</v>
      </c>
      <c r="H41" s="1" t="e">
        <f>VLOOKUP(B41,DEVOLUCIONES!$B$2:$B$40,1,0)</f>
        <v>#N/A</v>
      </c>
      <c r="I41" s="24"/>
      <c r="J41" s="24"/>
      <c r="K41" s="24"/>
      <c r="L41" s="24"/>
      <c r="M41" s="24"/>
      <c r="N41" s="24"/>
      <c r="O41" s="24"/>
      <c r="P41" s="33">
        <v>543210</v>
      </c>
      <c r="Q41" s="1" t="s">
        <v>1728</v>
      </c>
      <c r="R41" s="1" t="s">
        <v>1741</v>
      </c>
      <c r="S41" s="1"/>
      <c r="T41" s="30">
        <f t="shared" si="0"/>
        <v>0</v>
      </c>
    </row>
    <row r="42" spans="1:21" x14ac:dyDescent="0.25">
      <c r="A42" s="1" t="s">
        <v>76</v>
      </c>
      <c r="B42" s="22">
        <v>14071197</v>
      </c>
      <c r="C42" s="24">
        <v>152600</v>
      </c>
      <c r="D42" s="24">
        <v>152600</v>
      </c>
      <c r="E42" s="1" t="e">
        <f>VLOOKUP(B42,CXP!$C$2:$C$4,1,0)</f>
        <v>#N/A</v>
      </c>
      <c r="F42" s="1" t="e">
        <f>VLOOKUP(B42,GLOSAS!$C$2:$C$10,1,0)</f>
        <v>#N/A</v>
      </c>
      <c r="G42" s="1">
        <f>VLOOKUP(B42,CANCELADAS!$C$2:$C$506,1,0)</f>
        <v>14071197</v>
      </c>
      <c r="H42" s="1">
        <f>VLOOKUP(B42,DEVOLUCIONES!$B$2:$B$40,1,0)</f>
        <v>14071197</v>
      </c>
      <c r="I42" s="24"/>
      <c r="J42" s="24"/>
      <c r="K42" s="24"/>
      <c r="L42" s="24"/>
      <c r="M42" s="24"/>
      <c r="N42" s="24"/>
      <c r="O42" s="24"/>
      <c r="P42" s="33">
        <v>152600</v>
      </c>
      <c r="Q42" s="1" t="s">
        <v>1729</v>
      </c>
      <c r="R42" s="1" t="s">
        <v>1742</v>
      </c>
      <c r="S42" s="1"/>
      <c r="T42" s="30">
        <f t="shared" si="0"/>
        <v>0</v>
      </c>
    </row>
    <row r="43" spans="1:21" x14ac:dyDescent="0.25">
      <c r="A43" s="1" t="s">
        <v>77</v>
      </c>
      <c r="B43" s="22">
        <v>14075544</v>
      </c>
      <c r="C43" s="24">
        <v>68675</v>
      </c>
      <c r="D43" s="24">
        <v>68675</v>
      </c>
      <c r="E43" s="1" t="e">
        <f>VLOOKUP(B43,CXP!$C$2:$C$4,1,0)</f>
        <v>#N/A</v>
      </c>
      <c r="F43" s="1" t="e">
        <f>VLOOKUP(B43,GLOSAS!$C$2:$C$10,1,0)</f>
        <v>#N/A</v>
      </c>
      <c r="G43" s="1" t="e">
        <f>VLOOKUP(B43,CANCELADAS!$C$2:$C$506,1,0)</f>
        <v>#N/A</v>
      </c>
      <c r="H43" s="1" t="e">
        <f>VLOOKUP(B43,DEVOLUCIONES!$B$2:$B$40,1,0)</f>
        <v>#N/A</v>
      </c>
      <c r="I43" s="24"/>
      <c r="J43" s="24"/>
      <c r="K43" s="24"/>
      <c r="L43" s="24">
        <f t="shared" ref="L43:L46" si="1">+D43</f>
        <v>68675</v>
      </c>
      <c r="M43" s="24"/>
      <c r="N43" s="24"/>
      <c r="O43" s="24"/>
      <c r="P43" s="24"/>
      <c r="Q43" s="1"/>
      <c r="R43" s="1" t="s">
        <v>1865</v>
      </c>
      <c r="S43" s="1"/>
      <c r="T43" s="30">
        <f t="shared" si="0"/>
        <v>0</v>
      </c>
    </row>
    <row r="44" spans="1:21" x14ac:dyDescent="0.25">
      <c r="A44" s="1" t="s">
        <v>78</v>
      </c>
      <c r="B44" s="22">
        <v>14075877</v>
      </c>
      <c r="C44" s="24">
        <v>105872</v>
      </c>
      <c r="D44" s="24">
        <v>105872</v>
      </c>
      <c r="E44" s="1" t="e">
        <f>VLOOKUP(B44,CXP!$C$2:$C$4,1,0)</f>
        <v>#N/A</v>
      </c>
      <c r="F44" s="1" t="e">
        <f>VLOOKUP(B44,GLOSAS!$C$2:$C$10,1,0)</f>
        <v>#N/A</v>
      </c>
      <c r="G44" s="1" t="e">
        <f>VLOOKUP(B44,CANCELADAS!$C$2:$C$506,1,0)</f>
        <v>#N/A</v>
      </c>
      <c r="H44" s="1" t="e">
        <f>VLOOKUP(B44,DEVOLUCIONES!$B$2:$B$40,1,0)</f>
        <v>#N/A</v>
      </c>
      <c r="I44" s="24"/>
      <c r="J44" s="24"/>
      <c r="K44" s="24"/>
      <c r="L44" s="24">
        <f t="shared" si="1"/>
        <v>105872</v>
      </c>
      <c r="M44" s="24"/>
      <c r="N44" s="24"/>
      <c r="O44" s="24"/>
      <c r="P44" s="24"/>
      <c r="Q44" s="1"/>
      <c r="R44" s="1" t="s">
        <v>1865</v>
      </c>
      <c r="S44" s="1"/>
      <c r="T44" s="30">
        <f t="shared" si="0"/>
        <v>0</v>
      </c>
    </row>
    <row r="45" spans="1:21" x14ac:dyDescent="0.25">
      <c r="A45" s="1" t="s">
        <v>79</v>
      </c>
      <c r="B45" s="22">
        <v>14077197</v>
      </c>
      <c r="C45" s="24">
        <v>54400</v>
      </c>
      <c r="D45" s="24">
        <v>54400</v>
      </c>
      <c r="E45" s="1" t="e">
        <f>VLOOKUP(B45,CXP!$C$2:$C$4,1,0)</f>
        <v>#N/A</v>
      </c>
      <c r="F45" s="1" t="e">
        <f>VLOOKUP(B45,GLOSAS!$C$2:$C$10,1,0)</f>
        <v>#N/A</v>
      </c>
      <c r="G45" s="1" t="e">
        <f>VLOOKUP(B45,CANCELADAS!$C$2:$C$506,1,0)</f>
        <v>#N/A</v>
      </c>
      <c r="H45" s="1" t="e">
        <f>VLOOKUP(B45,DEVOLUCIONES!$B$2:$B$40,1,0)</f>
        <v>#N/A</v>
      </c>
      <c r="I45" s="24"/>
      <c r="J45" s="24"/>
      <c r="K45" s="24"/>
      <c r="L45" s="24">
        <f t="shared" si="1"/>
        <v>54400</v>
      </c>
      <c r="M45" s="24"/>
      <c r="N45" s="24"/>
      <c r="O45" s="24"/>
      <c r="P45" s="24"/>
      <c r="Q45" s="1"/>
      <c r="R45" s="1" t="s">
        <v>1865</v>
      </c>
      <c r="S45" s="1"/>
      <c r="T45" s="30">
        <f t="shared" si="0"/>
        <v>0</v>
      </c>
    </row>
    <row r="46" spans="1:21" x14ac:dyDescent="0.25">
      <c r="A46" s="1" t="s">
        <v>80</v>
      </c>
      <c r="B46" s="22">
        <v>14077138</v>
      </c>
      <c r="C46" s="24">
        <v>177750</v>
      </c>
      <c r="D46" s="24">
        <v>177750</v>
      </c>
      <c r="E46" s="1" t="e">
        <f>VLOOKUP(B46,CXP!$C$2:$C$4,1,0)</f>
        <v>#N/A</v>
      </c>
      <c r="F46" s="1" t="e">
        <f>VLOOKUP(B46,GLOSAS!$C$2:$C$10,1,0)</f>
        <v>#N/A</v>
      </c>
      <c r="G46" s="1" t="e">
        <f>VLOOKUP(B46,CANCELADAS!$C$2:$C$506,1,0)</f>
        <v>#N/A</v>
      </c>
      <c r="H46" s="1" t="e">
        <f>VLOOKUP(B46,DEVOLUCIONES!$B$2:$B$40,1,0)</f>
        <v>#N/A</v>
      </c>
      <c r="I46" s="24"/>
      <c r="J46" s="24"/>
      <c r="K46" s="24"/>
      <c r="L46" s="24">
        <f t="shared" si="1"/>
        <v>177750</v>
      </c>
      <c r="M46" s="24"/>
      <c r="N46" s="24"/>
      <c r="O46" s="24"/>
      <c r="P46" s="24"/>
      <c r="Q46" s="1"/>
      <c r="R46" s="1" t="s">
        <v>1865</v>
      </c>
      <c r="S46" s="1"/>
      <c r="T46" s="30">
        <f t="shared" si="0"/>
        <v>0</v>
      </c>
    </row>
    <row r="47" spans="1:21" x14ac:dyDescent="0.25">
      <c r="A47" s="1" t="s">
        <v>81</v>
      </c>
      <c r="B47" s="22">
        <v>14080983</v>
      </c>
      <c r="C47" s="24">
        <v>113400</v>
      </c>
      <c r="D47" s="24">
        <v>113400</v>
      </c>
      <c r="E47" s="1" t="e">
        <f>VLOOKUP(B47,CXP!$C$2:$C$4,1,0)</f>
        <v>#N/A</v>
      </c>
      <c r="F47" s="1" t="e">
        <f>VLOOKUP(B47,GLOSAS!$C$2:$C$10,1,0)</f>
        <v>#N/A</v>
      </c>
      <c r="G47" s="1">
        <f>VLOOKUP(B47,CANCELADAS!$C$2:$C$506,1,0)</f>
        <v>14080983</v>
      </c>
      <c r="H47" s="1" t="e">
        <f>VLOOKUP(B47,DEVOLUCIONES!$B$2:$B$40,1,0)</f>
        <v>#N/A</v>
      </c>
      <c r="I47" s="24"/>
      <c r="J47" s="24"/>
      <c r="K47" s="24"/>
      <c r="L47" s="24"/>
      <c r="M47" s="24"/>
      <c r="N47" s="24"/>
      <c r="O47" s="24"/>
      <c r="P47" s="24">
        <v>113400</v>
      </c>
      <c r="Q47" s="1">
        <v>2000299817</v>
      </c>
      <c r="R47" s="1" t="s">
        <v>1735</v>
      </c>
      <c r="S47" s="1"/>
      <c r="T47" s="30">
        <f t="shared" si="0"/>
        <v>0</v>
      </c>
    </row>
    <row r="48" spans="1:21" x14ac:dyDescent="0.25">
      <c r="A48" s="1" t="s">
        <v>82</v>
      </c>
      <c r="B48" s="22">
        <v>14080988</v>
      </c>
      <c r="C48" s="24">
        <v>148500</v>
      </c>
      <c r="D48" s="24">
        <v>148500</v>
      </c>
      <c r="E48" s="1" t="e">
        <f>VLOOKUP(B48,CXP!$C$2:$C$4,1,0)</f>
        <v>#N/A</v>
      </c>
      <c r="F48" s="1" t="e">
        <f>VLOOKUP(B48,GLOSAS!$C$2:$C$10,1,0)</f>
        <v>#N/A</v>
      </c>
      <c r="G48" s="1">
        <f>VLOOKUP(B48,CANCELADAS!$C$2:$C$506,1,0)</f>
        <v>14080988</v>
      </c>
      <c r="H48" s="1" t="e">
        <f>VLOOKUP(B48,DEVOLUCIONES!$B$2:$B$40,1,0)</f>
        <v>#N/A</v>
      </c>
      <c r="I48" s="24"/>
      <c r="J48" s="24"/>
      <c r="K48" s="24"/>
      <c r="L48" s="24"/>
      <c r="M48" s="24"/>
      <c r="N48" s="24"/>
      <c r="O48" s="24"/>
      <c r="P48" s="24">
        <v>148500</v>
      </c>
      <c r="Q48" s="1">
        <v>2000299817</v>
      </c>
      <c r="R48" s="1" t="s">
        <v>1735</v>
      </c>
      <c r="S48" s="1"/>
      <c r="T48" s="30">
        <f t="shared" si="0"/>
        <v>0</v>
      </c>
    </row>
    <row r="49" spans="1:20" x14ac:dyDescent="0.25">
      <c r="A49" s="1" t="s">
        <v>83</v>
      </c>
      <c r="B49" s="22">
        <v>14083350</v>
      </c>
      <c r="C49" s="24">
        <v>139071</v>
      </c>
      <c r="D49" s="24">
        <v>139071</v>
      </c>
      <c r="E49" s="1" t="e">
        <f>VLOOKUP(B49,CXP!$C$2:$C$4,1,0)</f>
        <v>#N/A</v>
      </c>
      <c r="F49" s="1" t="e">
        <f>VLOOKUP(B49,GLOSAS!$C$2:$C$10,1,0)</f>
        <v>#N/A</v>
      </c>
      <c r="G49" s="1" t="e">
        <f>VLOOKUP(B49,CANCELADAS!$C$2:$C$506,1,0)</f>
        <v>#N/A</v>
      </c>
      <c r="H49" s="1" t="e">
        <f>VLOOKUP(B49,DEVOLUCIONES!$B$2:$B$40,1,0)</f>
        <v>#N/A</v>
      </c>
      <c r="I49" s="24"/>
      <c r="J49" s="24"/>
      <c r="K49" s="24"/>
      <c r="L49" s="24">
        <f t="shared" ref="L49:L50" si="2">+D49</f>
        <v>139071</v>
      </c>
      <c r="M49" s="24"/>
      <c r="N49" s="24"/>
      <c r="O49" s="24"/>
      <c r="P49" s="24"/>
      <c r="Q49" s="1"/>
      <c r="R49" s="1" t="s">
        <v>1865</v>
      </c>
      <c r="S49" s="1"/>
      <c r="T49" s="30">
        <f t="shared" si="0"/>
        <v>0</v>
      </c>
    </row>
    <row r="50" spans="1:20" x14ac:dyDescent="0.25">
      <c r="A50" s="1" t="s">
        <v>84</v>
      </c>
      <c r="B50" s="22">
        <v>14083571</v>
      </c>
      <c r="C50" s="24">
        <v>115100</v>
      </c>
      <c r="D50" s="24">
        <v>115100</v>
      </c>
      <c r="E50" s="1" t="e">
        <f>VLOOKUP(B50,CXP!$C$2:$C$4,1,0)</f>
        <v>#N/A</v>
      </c>
      <c r="F50" s="1" t="e">
        <f>VLOOKUP(B50,GLOSAS!$C$2:$C$10,1,0)</f>
        <v>#N/A</v>
      </c>
      <c r="G50" s="1" t="e">
        <f>VLOOKUP(B50,CANCELADAS!$C$2:$C$506,1,0)</f>
        <v>#N/A</v>
      </c>
      <c r="H50" s="1" t="e">
        <f>VLOOKUP(B50,DEVOLUCIONES!$B$2:$B$40,1,0)</f>
        <v>#N/A</v>
      </c>
      <c r="I50" s="24"/>
      <c r="J50" s="24"/>
      <c r="K50" s="24"/>
      <c r="L50" s="24">
        <f t="shared" si="2"/>
        <v>115100</v>
      </c>
      <c r="M50" s="24"/>
      <c r="N50" s="24"/>
      <c r="O50" s="24"/>
      <c r="P50" s="24"/>
      <c r="Q50" s="1"/>
      <c r="R50" s="1" t="s">
        <v>1865</v>
      </c>
      <c r="S50" s="1"/>
      <c r="T50" s="30">
        <f t="shared" si="0"/>
        <v>0</v>
      </c>
    </row>
    <row r="51" spans="1:20" x14ac:dyDescent="0.25">
      <c r="A51" s="1" t="s">
        <v>85</v>
      </c>
      <c r="B51" s="22">
        <v>14085950</v>
      </c>
      <c r="C51" s="24">
        <v>24000</v>
      </c>
      <c r="D51" s="24">
        <v>24000</v>
      </c>
      <c r="E51" s="1" t="e">
        <f>VLOOKUP(B51,CXP!$C$2:$C$4,1,0)</f>
        <v>#N/A</v>
      </c>
      <c r="F51" s="1" t="e">
        <f>VLOOKUP(B51,GLOSAS!$C$2:$C$10,1,0)</f>
        <v>#N/A</v>
      </c>
      <c r="G51" s="1">
        <f>VLOOKUP(B51,CANCELADAS!$C$2:$C$506,1,0)</f>
        <v>14085950</v>
      </c>
      <c r="H51" s="1" t="e">
        <f>VLOOKUP(B51,DEVOLUCIONES!$B$2:$B$40,1,0)</f>
        <v>#N/A</v>
      </c>
      <c r="I51" s="24"/>
      <c r="J51" s="24"/>
      <c r="K51" s="24"/>
      <c r="L51" s="24"/>
      <c r="M51" s="24"/>
      <c r="N51" s="24"/>
      <c r="O51" s="24"/>
      <c r="P51" s="24">
        <v>24000</v>
      </c>
      <c r="Q51" s="1">
        <v>2000324562</v>
      </c>
      <c r="R51" s="1" t="s">
        <v>1737</v>
      </c>
      <c r="S51" s="1"/>
      <c r="T51" s="30">
        <f t="shared" si="0"/>
        <v>0</v>
      </c>
    </row>
    <row r="52" spans="1:20" x14ac:dyDescent="0.25">
      <c r="A52" s="1" t="s">
        <v>86</v>
      </c>
      <c r="B52" s="22">
        <v>14085241</v>
      </c>
      <c r="C52" s="24">
        <v>47800</v>
      </c>
      <c r="D52" s="24">
        <v>47800</v>
      </c>
      <c r="E52" s="1" t="e">
        <f>VLOOKUP(B52,CXP!$C$2:$C$4,1,0)</f>
        <v>#N/A</v>
      </c>
      <c r="F52" s="1" t="e">
        <f>VLOOKUP(B52,GLOSAS!$C$2:$C$10,1,0)</f>
        <v>#N/A</v>
      </c>
      <c r="G52" s="1">
        <f>VLOOKUP(B52,CANCELADAS!$C$2:$C$506,1,0)</f>
        <v>14085241</v>
      </c>
      <c r="H52" s="1" t="e">
        <f>VLOOKUP(B52,DEVOLUCIONES!$B$2:$B$40,1,0)</f>
        <v>#N/A</v>
      </c>
      <c r="I52" s="24"/>
      <c r="J52" s="24"/>
      <c r="K52" s="24"/>
      <c r="L52" s="24"/>
      <c r="M52" s="24"/>
      <c r="N52" s="24"/>
      <c r="O52" s="24"/>
      <c r="P52" s="24">
        <v>47800</v>
      </c>
      <c r="Q52" s="1">
        <v>2000299817</v>
      </c>
      <c r="R52" s="1" t="s">
        <v>1735</v>
      </c>
      <c r="S52" s="1"/>
      <c r="T52" s="30">
        <f t="shared" si="0"/>
        <v>0</v>
      </c>
    </row>
    <row r="53" spans="1:20" x14ac:dyDescent="0.25">
      <c r="A53" s="1" t="s">
        <v>87</v>
      </c>
      <c r="B53" s="22">
        <v>14086331</v>
      </c>
      <c r="C53" s="24">
        <v>781600</v>
      </c>
      <c r="D53" s="24">
        <v>781600</v>
      </c>
      <c r="E53" s="1" t="e">
        <f>VLOOKUP(B53,CXP!$C$2:$C$4,1,0)</f>
        <v>#N/A</v>
      </c>
      <c r="F53" s="1" t="e">
        <f>VLOOKUP(B53,GLOSAS!$C$2:$C$10,1,0)</f>
        <v>#N/A</v>
      </c>
      <c r="G53" s="1">
        <f>VLOOKUP(B53,CANCELADAS!$C$2:$C$506,1,0)</f>
        <v>14086331</v>
      </c>
      <c r="H53" s="1" t="e">
        <f>VLOOKUP(B53,DEVOLUCIONES!$B$2:$B$40,1,0)</f>
        <v>#N/A</v>
      </c>
      <c r="I53" s="24"/>
      <c r="J53" s="24"/>
      <c r="K53" s="24"/>
      <c r="L53" s="24"/>
      <c r="M53" s="24"/>
      <c r="N53" s="24"/>
      <c r="O53" s="24"/>
      <c r="P53" s="24">
        <v>781600</v>
      </c>
      <c r="Q53" s="1">
        <v>2000324562</v>
      </c>
      <c r="R53" s="1" t="s">
        <v>1737</v>
      </c>
      <c r="S53" s="1"/>
      <c r="T53" s="30">
        <f t="shared" si="0"/>
        <v>0</v>
      </c>
    </row>
    <row r="54" spans="1:20" x14ac:dyDescent="0.25">
      <c r="A54" s="1" t="s">
        <v>88</v>
      </c>
      <c r="B54" s="22">
        <v>14088104</v>
      </c>
      <c r="C54" s="24">
        <v>72600</v>
      </c>
      <c r="D54" s="24">
        <v>72600</v>
      </c>
      <c r="E54" s="1" t="e">
        <f>VLOOKUP(B54,CXP!$C$2:$C$4,1,0)</f>
        <v>#N/A</v>
      </c>
      <c r="F54" s="1" t="e">
        <f>VLOOKUP(B54,GLOSAS!$C$2:$C$10,1,0)</f>
        <v>#N/A</v>
      </c>
      <c r="G54" s="1">
        <f>VLOOKUP(B54,CANCELADAS!$C$2:$C$506,1,0)</f>
        <v>14088104</v>
      </c>
      <c r="H54" s="1" t="e">
        <f>VLOOKUP(B54,DEVOLUCIONES!$B$2:$B$40,1,0)</f>
        <v>#N/A</v>
      </c>
      <c r="I54" s="24"/>
      <c r="J54" s="24"/>
      <c r="K54" s="24"/>
      <c r="L54" s="24"/>
      <c r="M54" s="24"/>
      <c r="N54" s="24"/>
      <c r="O54" s="24"/>
      <c r="P54" s="24">
        <v>72600</v>
      </c>
      <c r="Q54" s="1">
        <v>2000324562</v>
      </c>
      <c r="R54" s="1" t="s">
        <v>1737</v>
      </c>
      <c r="S54" s="1"/>
      <c r="T54" s="30">
        <f t="shared" si="0"/>
        <v>0</v>
      </c>
    </row>
    <row r="55" spans="1:20" x14ac:dyDescent="0.25">
      <c r="A55" s="1" t="s">
        <v>89</v>
      </c>
      <c r="B55" s="22">
        <v>14090046</v>
      </c>
      <c r="C55" s="24">
        <v>47800</v>
      </c>
      <c r="D55" s="24">
        <v>47800</v>
      </c>
      <c r="E55" s="1" t="e">
        <f>VLOOKUP(B55,CXP!$C$2:$C$4,1,0)</f>
        <v>#N/A</v>
      </c>
      <c r="F55" s="1" t="e">
        <f>VLOOKUP(B55,GLOSAS!$C$2:$C$10,1,0)</f>
        <v>#N/A</v>
      </c>
      <c r="G55" s="1">
        <f>VLOOKUP(B55,CANCELADAS!$C$2:$C$506,1,0)</f>
        <v>14090046</v>
      </c>
      <c r="H55" s="1" t="e">
        <f>VLOOKUP(B55,DEVOLUCIONES!$B$2:$B$40,1,0)</f>
        <v>#N/A</v>
      </c>
      <c r="I55" s="24"/>
      <c r="J55" s="24"/>
      <c r="K55" s="24"/>
      <c r="L55" s="24"/>
      <c r="M55" s="24"/>
      <c r="N55" s="24"/>
      <c r="O55" s="24"/>
      <c r="P55" s="24">
        <v>47800</v>
      </c>
      <c r="Q55" s="1">
        <v>2000324562</v>
      </c>
      <c r="R55" s="1" t="s">
        <v>1737</v>
      </c>
      <c r="S55" s="1"/>
      <c r="T55" s="30">
        <f t="shared" si="0"/>
        <v>0</v>
      </c>
    </row>
    <row r="56" spans="1:20" x14ac:dyDescent="0.25">
      <c r="A56" s="1" t="s">
        <v>90</v>
      </c>
      <c r="B56" s="22">
        <v>14092450</v>
      </c>
      <c r="C56" s="24">
        <v>47800</v>
      </c>
      <c r="D56" s="24">
        <v>47800</v>
      </c>
      <c r="E56" s="1" t="e">
        <f>VLOOKUP(B56,CXP!$C$2:$C$4,1,0)</f>
        <v>#N/A</v>
      </c>
      <c r="F56" s="1" t="e">
        <f>VLOOKUP(B56,GLOSAS!$C$2:$C$10,1,0)</f>
        <v>#N/A</v>
      </c>
      <c r="G56" s="1">
        <f>VLOOKUP(B56,CANCELADAS!$C$2:$C$506,1,0)</f>
        <v>14092450</v>
      </c>
      <c r="H56" s="1" t="e">
        <f>VLOOKUP(B56,DEVOLUCIONES!$B$2:$B$40,1,0)</f>
        <v>#N/A</v>
      </c>
      <c r="I56" s="24"/>
      <c r="J56" s="24"/>
      <c r="K56" s="24"/>
      <c r="L56" s="24"/>
      <c r="M56" s="24"/>
      <c r="N56" s="24"/>
      <c r="O56" s="24"/>
      <c r="P56" s="24">
        <v>47800</v>
      </c>
      <c r="Q56" s="1">
        <v>2000299817</v>
      </c>
      <c r="R56" s="1" t="s">
        <v>1735</v>
      </c>
      <c r="S56" s="1"/>
      <c r="T56" s="30">
        <f t="shared" si="0"/>
        <v>0</v>
      </c>
    </row>
    <row r="57" spans="1:20" x14ac:dyDescent="0.25">
      <c r="A57" s="1" t="s">
        <v>91</v>
      </c>
      <c r="B57" s="22">
        <v>14092291</v>
      </c>
      <c r="C57" s="24">
        <v>152600</v>
      </c>
      <c r="D57" s="24">
        <v>152600</v>
      </c>
      <c r="E57" s="1" t="e">
        <f>VLOOKUP(B57,CXP!$C$2:$C$4,1,0)</f>
        <v>#N/A</v>
      </c>
      <c r="F57" s="1" t="e">
        <f>VLOOKUP(B57,GLOSAS!$C$2:$C$10,1,0)</f>
        <v>#N/A</v>
      </c>
      <c r="G57" s="1">
        <f>VLOOKUP(B57,CANCELADAS!$C$2:$C$506,1,0)</f>
        <v>14092291</v>
      </c>
      <c r="H57" s="1" t="e">
        <f>VLOOKUP(B57,DEVOLUCIONES!$B$2:$B$40,1,0)</f>
        <v>#N/A</v>
      </c>
      <c r="I57" s="24"/>
      <c r="J57" s="24"/>
      <c r="K57" s="24"/>
      <c r="L57" s="24"/>
      <c r="M57" s="24"/>
      <c r="N57" s="24"/>
      <c r="O57" s="24"/>
      <c r="P57" s="24">
        <v>152600</v>
      </c>
      <c r="Q57" s="1">
        <v>2000299817</v>
      </c>
      <c r="R57" s="1" t="s">
        <v>1735</v>
      </c>
      <c r="S57" s="1"/>
      <c r="T57" s="30">
        <f t="shared" si="0"/>
        <v>0</v>
      </c>
    </row>
    <row r="58" spans="1:20" x14ac:dyDescent="0.25">
      <c r="A58" s="1" t="s">
        <v>92</v>
      </c>
      <c r="B58" s="22">
        <v>14094605</v>
      </c>
      <c r="C58" s="24">
        <v>47800</v>
      </c>
      <c r="D58" s="24">
        <v>47800</v>
      </c>
      <c r="E58" s="1" t="e">
        <f>VLOOKUP(B58,CXP!$C$2:$C$4,1,0)</f>
        <v>#N/A</v>
      </c>
      <c r="F58" s="1" t="e">
        <f>VLOOKUP(B58,GLOSAS!$C$2:$C$10,1,0)</f>
        <v>#N/A</v>
      </c>
      <c r="G58" s="1">
        <f>VLOOKUP(B58,CANCELADAS!$C$2:$C$506,1,0)</f>
        <v>14094605</v>
      </c>
      <c r="H58" s="1" t="e">
        <f>VLOOKUP(B58,DEVOLUCIONES!$B$2:$B$40,1,0)</f>
        <v>#N/A</v>
      </c>
      <c r="I58" s="24"/>
      <c r="J58" s="24"/>
      <c r="K58" s="24"/>
      <c r="L58" s="24"/>
      <c r="M58" s="24"/>
      <c r="N58" s="24"/>
      <c r="O58" s="24"/>
      <c r="P58" s="24">
        <v>47800</v>
      </c>
      <c r="Q58" s="1">
        <v>2000324562</v>
      </c>
      <c r="R58" s="1" t="s">
        <v>1737</v>
      </c>
      <c r="S58" s="1"/>
      <c r="T58" s="30">
        <f t="shared" si="0"/>
        <v>0</v>
      </c>
    </row>
    <row r="59" spans="1:20" x14ac:dyDescent="0.25">
      <c r="A59" s="1" t="s">
        <v>93</v>
      </c>
      <c r="B59" s="22">
        <v>14094935</v>
      </c>
      <c r="C59" s="24">
        <v>188794</v>
      </c>
      <c r="D59" s="24">
        <v>188794</v>
      </c>
      <c r="E59" s="1" t="e">
        <f>VLOOKUP(B59,CXP!$C$2:$C$4,1,0)</f>
        <v>#N/A</v>
      </c>
      <c r="F59" s="1" t="e">
        <f>VLOOKUP(B59,GLOSAS!$C$2:$C$10,1,0)</f>
        <v>#N/A</v>
      </c>
      <c r="G59" s="1">
        <f>VLOOKUP(B59,CANCELADAS!$C$2:$C$506,1,0)</f>
        <v>14094935</v>
      </c>
      <c r="H59" s="1" t="e">
        <f>VLOOKUP(B59,DEVOLUCIONES!$B$2:$B$40,1,0)</f>
        <v>#N/A</v>
      </c>
      <c r="I59" s="24"/>
      <c r="J59" s="24"/>
      <c r="K59" s="24"/>
      <c r="L59" s="24"/>
      <c r="M59" s="24"/>
      <c r="N59" s="24"/>
      <c r="O59" s="24"/>
      <c r="P59" s="24">
        <v>188794</v>
      </c>
      <c r="Q59" s="1">
        <v>2000324562</v>
      </c>
      <c r="R59" s="1" t="s">
        <v>1737</v>
      </c>
      <c r="S59" s="1"/>
      <c r="T59" s="30">
        <f t="shared" si="0"/>
        <v>0</v>
      </c>
    </row>
    <row r="60" spans="1:20" x14ac:dyDescent="0.25">
      <c r="A60" s="1" t="s">
        <v>94</v>
      </c>
      <c r="B60" s="22">
        <v>14096062</v>
      </c>
      <c r="C60" s="24">
        <v>218776</v>
      </c>
      <c r="D60" s="24">
        <v>218776</v>
      </c>
      <c r="E60" s="1" t="e">
        <f>VLOOKUP(B60,CXP!$C$2:$C$4,1,0)</f>
        <v>#N/A</v>
      </c>
      <c r="F60" s="1" t="e">
        <f>VLOOKUP(B60,GLOSAS!$C$2:$C$10,1,0)</f>
        <v>#N/A</v>
      </c>
      <c r="G60" s="1">
        <f>VLOOKUP(B60,CANCELADAS!$C$2:$C$506,1,0)</f>
        <v>14096062</v>
      </c>
      <c r="H60" s="1" t="e">
        <f>VLOOKUP(B60,DEVOLUCIONES!$B$2:$B$40,1,0)</f>
        <v>#N/A</v>
      </c>
      <c r="I60" s="24"/>
      <c r="J60" s="24"/>
      <c r="K60" s="24"/>
      <c r="L60" s="24"/>
      <c r="M60" s="24"/>
      <c r="N60" s="24"/>
      <c r="O60" s="24"/>
      <c r="P60" s="24">
        <v>218776</v>
      </c>
      <c r="Q60" s="1">
        <v>2000324562</v>
      </c>
      <c r="R60" s="1" t="s">
        <v>1737</v>
      </c>
      <c r="S60" s="1"/>
      <c r="T60" s="30">
        <f t="shared" si="0"/>
        <v>0</v>
      </c>
    </row>
    <row r="61" spans="1:20" x14ac:dyDescent="0.25">
      <c r="A61" s="1" t="s">
        <v>95</v>
      </c>
      <c r="B61" s="22">
        <v>14100131</v>
      </c>
      <c r="C61" s="24">
        <v>54400</v>
      </c>
      <c r="D61" s="24">
        <v>54400</v>
      </c>
      <c r="E61" s="1" t="e">
        <f>VLOOKUP(B61,CXP!$C$2:$C$4,1,0)</f>
        <v>#N/A</v>
      </c>
      <c r="F61" s="1" t="e">
        <f>VLOOKUP(B61,GLOSAS!$C$2:$C$10,1,0)</f>
        <v>#N/A</v>
      </c>
      <c r="G61" s="1">
        <f>VLOOKUP(B61,CANCELADAS!$C$2:$C$506,1,0)</f>
        <v>14100131</v>
      </c>
      <c r="H61" s="1" t="e">
        <f>VLOOKUP(B61,DEVOLUCIONES!$B$2:$B$40,1,0)</f>
        <v>#N/A</v>
      </c>
      <c r="I61" s="24"/>
      <c r="J61" s="24"/>
      <c r="K61" s="24"/>
      <c r="L61" s="24"/>
      <c r="M61" s="24"/>
      <c r="N61" s="24"/>
      <c r="O61" s="24"/>
      <c r="P61" s="24">
        <v>54400</v>
      </c>
      <c r="Q61" s="1">
        <v>2000324562</v>
      </c>
      <c r="R61" s="1" t="s">
        <v>1737</v>
      </c>
      <c r="S61" s="1"/>
      <c r="T61" s="30">
        <f t="shared" si="0"/>
        <v>0</v>
      </c>
    </row>
    <row r="62" spans="1:20" x14ac:dyDescent="0.25">
      <c r="A62" s="1" t="s">
        <v>96</v>
      </c>
      <c r="B62" s="22">
        <v>14101119</v>
      </c>
      <c r="C62" s="24">
        <v>54400</v>
      </c>
      <c r="D62" s="24">
        <v>54400</v>
      </c>
      <c r="E62" s="1" t="e">
        <f>VLOOKUP(B62,CXP!$C$2:$C$4,1,0)</f>
        <v>#N/A</v>
      </c>
      <c r="F62" s="1" t="e">
        <f>VLOOKUP(B62,GLOSAS!$C$2:$C$10,1,0)</f>
        <v>#N/A</v>
      </c>
      <c r="G62" s="1">
        <f>VLOOKUP(B62,CANCELADAS!$C$2:$C$506,1,0)</f>
        <v>14101119</v>
      </c>
      <c r="H62" s="1" t="e">
        <f>VLOOKUP(B62,DEVOLUCIONES!$B$2:$B$40,1,0)</f>
        <v>#N/A</v>
      </c>
      <c r="I62" s="24"/>
      <c r="J62" s="24"/>
      <c r="K62" s="24"/>
      <c r="L62" s="24"/>
      <c r="M62" s="24"/>
      <c r="N62" s="24"/>
      <c r="O62" s="24"/>
      <c r="P62" s="24">
        <v>54400</v>
      </c>
      <c r="Q62" s="1">
        <v>2000324562</v>
      </c>
      <c r="R62" s="1" t="s">
        <v>1737</v>
      </c>
      <c r="S62" s="1"/>
      <c r="T62" s="30">
        <f t="shared" si="0"/>
        <v>0</v>
      </c>
    </row>
    <row r="63" spans="1:20" x14ac:dyDescent="0.25">
      <c r="A63" s="1" t="s">
        <v>97</v>
      </c>
      <c r="B63" s="22">
        <v>14101507</v>
      </c>
      <c r="C63" s="24">
        <v>284668</v>
      </c>
      <c r="D63" s="24">
        <v>284668</v>
      </c>
      <c r="E63" s="1" t="e">
        <f>VLOOKUP(B63,CXP!$C$2:$C$4,1,0)</f>
        <v>#N/A</v>
      </c>
      <c r="F63" s="1" t="e">
        <f>VLOOKUP(B63,GLOSAS!$C$2:$C$10,1,0)</f>
        <v>#N/A</v>
      </c>
      <c r="G63" s="1">
        <f>VLOOKUP(B63,CANCELADAS!$C$2:$C$506,1,0)</f>
        <v>14101507</v>
      </c>
      <c r="H63" s="1" t="e">
        <f>VLOOKUP(B63,DEVOLUCIONES!$B$2:$B$40,1,0)</f>
        <v>#N/A</v>
      </c>
      <c r="I63" s="24"/>
      <c r="J63" s="24"/>
      <c r="K63" s="24"/>
      <c r="L63" s="24"/>
      <c r="M63" s="24"/>
      <c r="N63" s="24"/>
      <c r="O63" s="24"/>
      <c r="P63" s="24">
        <v>284668</v>
      </c>
      <c r="Q63" s="1">
        <v>2000324562</v>
      </c>
      <c r="R63" s="1" t="s">
        <v>1737</v>
      </c>
      <c r="S63" s="1"/>
      <c r="T63" s="30">
        <f t="shared" si="0"/>
        <v>0</v>
      </c>
    </row>
    <row r="64" spans="1:20" x14ac:dyDescent="0.25">
      <c r="A64" s="1" t="s">
        <v>98</v>
      </c>
      <c r="B64" s="22">
        <v>14103682</v>
      </c>
      <c r="C64" s="24">
        <v>47800</v>
      </c>
      <c r="D64" s="24">
        <v>47800</v>
      </c>
      <c r="E64" s="1" t="e">
        <f>VLOOKUP(B64,CXP!$C$2:$C$4,1,0)</f>
        <v>#N/A</v>
      </c>
      <c r="F64" s="1" t="e">
        <f>VLOOKUP(B64,GLOSAS!$C$2:$C$10,1,0)</f>
        <v>#N/A</v>
      </c>
      <c r="G64" s="1">
        <f>VLOOKUP(B64,CANCELADAS!$C$2:$C$506,1,0)</f>
        <v>14103682</v>
      </c>
      <c r="H64" s="1" t="e">
        <f>VLOOKUP(B64,DEVOLUCIONES!$B$2:$B$40,1,0)</f>
        <v>#N/A</v>
      </c>
      <c r="I64" s="24"/>
      <c r="J64" s="24"/>
      <c r="K64" s="24"/>
      <c r="L64" s="24"/>
      <c r="M64" s="24"/>
      <c r="N64" s="24"/>
      <c r="O64" s="24"/>
      <c r="P64" s="24">
        <v>47800</v>
      </c>
      <c r="Q64" s="1">
        <v>2000324562</v>
      </c>
      <c r="R64" s="1" t="s">
        <v>1737</v>
      </c>
      <c r="S64" s="1"/>
      <c r="T64" s="30">
        <f t="shared" si="0"/>
        <v>0</v>
      </c>
    </row>
    <row r="65" spans="1:20" x14ac:dyDescent="0.25">
      <c r="A65" s="1" t="s">
        <v>99</v>
      </c>
      <c r="B65" s="22">
        <v>14106065</v>
      </c>
      <c r="C65" s="24">
        <v>22600</v>
      </c>
      <c r="D65" s="24">
        <v>22600</v>
      </c>
      <c r="E65" s="1" t="e">
        <f>VLOOKUP(B65,CXP!$C$2:$C$4,1,0)</f>
        <v>#N/A</v>
      </c>
      <c r="F65" s="1" t="e">
        <f>VLOOKUP(B65,GLOSAS!$C$2:$C$10,1,0)</f>
        <v>#N/A</v>
      </c>
      <c r="G65" s="1">
        <f>VLOOKUP(B65,CANCELADAS!$C$2:$C$506,1,0)</f>
        <v>14106065</v>
      </c>
      <c r="H65" s="1" t="e">
        <f>VLOOKUP(B65,DEVOLUCIONES!$B$2:$B$40,1,0)</f>
        <v>#N/A</v>
      </c>
      <c r="I65" s="24"/>
      <c r="J65" s="24"/>
      <c r="K65" s="24"/>
      <c r="L65" s="24"/>
      <c r="M65" s="24"/>
      <c r="N65" s="24"/>
      <c r="O65" s="24"/>
      <c r="P65" s="24">
        <v>22600</v>
      </c>
      <c r="Q65" s="1">
        <v>2000324562</v>
      </c>
      <c r="R65" s="1" t="s">
        <v>1737</v>
      </c>
      <c r="S65" s="1"/>
      <c r="T65" s="30">
        <f t="shared" si="0"/>
        <v>0</v>
      </c>
    </row>
    <row r="66" spans="1:20" x14ac:dyDescent="0.25">
      <c r="A66" s="1" t="s">
        <v>100</v>
      </c>
      <c r="B66" s="22">
        <v>14106070</v>
      </c>
      <c r="C66" s="24">
        <v>31600</v>
      </c>
      <c r="D66" s="24">
        <v>31600</v>
      </c>
      <c r="E66" s="1" t="e">
        <f>VLOOKUP(B66,CXP!$C$2:$C$4,1,0)</f>
        <v>#N/A</v>
      </c>
      <c r="F66" s="1" t="e">
        <f>VLOOKUP(B66,GLOSAS!$C$2:$C$10,1,0)</f>
        <v>#N/A</v>
      </c>
      <c r="G66" s="1">
        <f>VLOOKUP(B66,CANCELADAS!$C$2:$C$506,1,0)</f>
        <v>14106070</v>
      </c>
      <c r="H66" s="1" t="e">
        <f>VLOOKUP(B66,DEVOLUCIONES!$B$2:$B$40,1,0)</f>
        <v>#N/A</v>
      </c>
      <c r="I66" s="24"/>
      <c r="J66" s="24"/>
      <c r="K66" s="24"/>
      <c r="L66" s="24"/>
      <c r="M66" s="24"/>
      <c r="N66" s="24"/>
      <c r="O66" s="24"/>
      <c r="P66" s="24">
        <v>31600</v>
      </c>
      <c r="Q66" s="1">
        <v>2000324562</v>
      </c>
      <c r="R66" s="1" t="s">
        <v>1737</v>
      </c>
      <c r="S66" s="1"/>
      <c r="T66" s="30">
        <f t="shared" si="0"/>
        <v>0</v>
      </c>
    </row>
    <row r="67" spans="1:20" x14ac:dyDescent="0.25">
      <c r="A67" s="1" t="s">
        <v>101</v>
      </c>
      <c r="B67" s="22">
        <v>14107382</v>
      </c>
      <c r="C67" s="24">
        <v>256011</v>
      </c>
      <c r="D67" s="24">
        <v>256011</v>
      </c>
      <c r="E67" s="1" t="e">
        <f>VLOOKUP(B67,CXP!$C$2:$C$4,1,0)</f>
        <v>#N/A</v>
      </c>
      <c r="F67" s="1" t="e">
        <f>VLOOKUP(B67,GLOSAS!$C$2:$C$10,1,0)</f>
        <v>#N/A</v>
      </c>
      <c r="G67" s="1">
        <f>VLOOKUP(B67,CANCELADAS!$C$2:$C$506,1,0)</f>
        <v>14107382</v>
      </c>
      <c r="H67" s="1" t="e">
        <f>VLOOKUP(B67,DEVOLUCIONES!$B$2:$B$40,1,0)</f>
        <v>#N/A</v>
      </c>
      <c r="I67" s="24"/>
      <c r="J67" s="24"/>
      <c r="K67" s="24"/>
      <c r="L67" s="24"/>
      <c r="M67" s="24"/>
      <c r="N67" s="24"/>
      <c r="O67" s="24"/>
      <c r="P67" s="24">
        <v>256011</v>
      </c>
      <c r="Q67" s="1">
        <v>2000289506</v>
      </c>
      <c r="R67" s="1" t="s">
        <v>1734</v>
      </c>
      <c r="S67" s="1"/>
      <c r="T67" s="30">
        <f t="shared" ref="T67:T130" si="3">D67-SUM(I67:P67)</f>
        <v>0</v>
      </c>
    </row>
    <row r="68" spans="1:20" x14ac:dyDescent="0.25">
      <c r="A68" s="1" t="s">
        <v>102</v>
      </c>
      <c r="B68" s="22">
        <v>14109270</v>
      </c>
      <c r="C68" s="24">
        <v>55640</v>
      </c>
      <c r="D68" s="24">
        <v>55640</v>
      </c>
      <c r="E68" s="1" t="e">
        <f>VLOOKUP(B68,CXP!$C$2:$C$4,1,0)</f>
        <v>#N/A</v>
      </c>
      <c r="F68" s="1" t="e">
        <f>VLOOKUP(B68,GLOSAS!$C$2:$C$10,1,0)</f>
        <v>#N/A</v>
      </c>
      <c r="G68" s="1">
        <f>VLOOKUP(B68,CANCELADAS!$C$2:$C$506,1,0)</f>
        <v>14109270</v>
      </c>
      <c r="H68" s="1" t="e">
        <f>VLOOKUP(B68,DEVOLUCIONES!$B$2:$B$40,1,0)</f>
        <v>#N/A</v>
      </c>
      <c r="I68" s="24"/>
      <c r="J68" s="24"/>
      <c r="K68" s="24"/>
      <c r="L68" s="24"/>
      <c r="M68" s="24"/>
      <c r="N68" s="24"/>
      <c r="O68" s="24"/>
      <c r="P68" s="24">
        <v>55640</v>
      </c>
      <c r="Q68" s="1">
        <v>2000324562</v>
      </c>
      <c r="R68" s="1" t="s">
        <v>1737</v>
      </c>
      <c r="S68" s="1"/>
      <c r="T68" s="30">
        <f t="shared" si="3"/>
        <v>0</v>
      </c>
    </row>
    <row r="69" spans="1:20" x14ac:dyDescent="0.25">
      <c r="A69" s="1" t="s">
        <v>103</v>
      </c>
      <c r="B69" s="22">
        <v>14109476</v>
      </c>
      <c r="C69" s="24">
        <v>161700</v>
      </c>
      <c r="D69" s="24">
        <v>161700</v>
      </c>
      <c r="E69" s="1" t="e">
        <f>VLOOKUP(B69,CXP!$C$2:$C$4,1,0)</f>
        <v>#N/A</v>
      </c>
      <c r="F69" s="1" t="e">
        <f>VLOOKUP(B69,GLOSAS!$C$2:$C$10,1,0)</f>
        <v>#N/A</v>
      </c>
      <c r="G69" s="1">
        <f>VLOOKUP(B69,CANCELADAS!$C$2:$C$506,1,0)</f>
        <v>14109476</v>
      </c>
      <c r="H69" s="1" t="e">
        <f>VLOOKUP(B69,DEVOLUCIONES!$B$2:$B$40,1,0)</f>
        <v>#N/A</v>
      </c>
      <c r="I69" s="24"/>
      <c r="J69" s="24"/>
      <c r="K69" s="24"/>
      <c r="L69" s="24"/>
      <c r="M69" s="24"/>
      <c r="N69" s="24"/>
      <c r="O69" s="24"/>
      <c r="P69" s="24">
        <v>161700</v>
      </c>
      <c r="Q69" s="1">
        <v>2000324562</v>
      </c>
      <c r="R69" s="1" t="s">
        <v>1737</v>
      </c>
      <c r="S69" s="1"/>
      <c r="T69" s="30">
        <f t="shared" si="3"/>
        <v>0</v>
      </c>
    </row>
    <row r="70" spans="1:20" x14ac:dyDescent="0.25">
      <c r="A70" s="1" t="s">
        <v>104</v>
      </c>
      <c r="B70" s="22">
        <v>14112240</v>
      </c>
      <c r="C70" s="24">
        <v>54400</v>
      </c>
      <c r="D70" s="24">
        <v>54400</v>
      </c>
      <c r="E70" s="1" t="e">
        <f>VLOOKUP(B70,CXP!$C$2:$C$4,1,0)</f>
        <v>#N/A</v>
      </c>
      <c r="F70" s="1" t="e">
        <f>VLOOKUP(B70,GLOSAS!$C$2:$C$10,1,0)</f>
        <v>#N/A</v>
      </c>
      <c r="G70" s="1">
        <f>VLOOKUP(B70,CANCELADAS!$C$2:$C$506,1,0)</f>
        <v>14112240</v>
      </c>
      <c r="H70" s="1" t="e">
        <f>VLOOKUP(B70,DEVOLUCIONES!$B$2:$B$40,1,0)</f>
        <v>#N/A</v>
      </c>
      <c r="I70" s="24"/>
      <c r="J70" s="24"/>
      <c r="K70" s="24"/>
      <c r="L70" s="24"/>
      <c r="M70" s="24"/>
      <c r="N70" s="24"/>
      <c r="O70" s="24"/>
      <c r="P70" s="24">
        <v>54400</v>
      </c>
      <c r="Q70" s="1">
        <v>2000289452</v>
      </c>
      <c r="R70" s="1" t="s">
        <v>1731</v>
      </c>
      <c r="S70" s="1"/>
      <c r="T70" s="30">
        <f t="shared" si="3"/>
        <v>0</v>
      </c>
    </row>
    <row r="71" spans="1:20" x14ac:dyDescent="0.25">
      <c r="A71" s="1" t="s">
        <v>105</v>
      </c>
      <c r="B71" s="22">
        <v>14112238</v>
      </c>
      <c r="C71" s="24">
        <v>1222989</v>
      </c>
      <c r="D71" s="24">
        <v>1222989</v>
      </c>
      <c r="E71" s="1" t="e">
        <f>VLOOKUP(B71,CXP!$C$2:$C$4,1,0)</f>
        <v>#N/A</v>
      </c>
      <c r="F71" s="1" t="e">
        <f>VLOOKUP(B71,GLOSAS!$C$2:$C$10,1,0)</f>
        <v>#N/A</v>
      </c>
      <c r="G71" s="1" t="e">
        <f>VLOOKUP(B71,CANCELADAS!$C$2:$C$506,1,0)</f>
        <v>#N/A</v>
      </c>
      <c r="H71" s="1">
        <f>VLOOKUP(B71,DEVOLUCIONES!$B$2:$B$40,1,0)</f>
        <v>14112238</v>
      </c>
      <c r="I71" s="24"/>
      <c r="J71" s="24">
        <v>1222989</v>
      </c>
      <c r="K71" s="24"/>
      <c r="L71" s="24"/>
      <c r="M71" s="24"/>
      <c r="N71" s="24"/>
      <c r="O71" s="24"/>
      <c r="P71" s="24"/>
      <c r="Q71" s="1" t="s">
        <v>1794</v>
      </c>
      <c r="R71" s="1" t="s">
        <v>1793</v>
      </c>
      <c r="S71" s="1"/>
      <c r="T71" s="30">
        <f t="shared" si="3"/>
        <v>0</v>
      </c>
    </row>
    <row r="72" spans="1:20" x14ac:dyDescent="0.25">
      <c r="A72" s="1" t="s">
        <v>106</v>
      </c>
      <c r="B72" s="22">
        <v>14116024</v>
      </c>
      <c r="C72" s="24">
        <v>35100</v>
      </c>
      <c r="D72" s="24">
        <v>35100</v>
      </c>
      <c r="E72" s="1" t="e">
        <f>VLOOKUP(B72,CXP!$C$2:$C$4,1,0)</f>
        <v>#N/A</v>
      </c>
      <c r="F72" s="1" t="e">
        <f>VLOOKUP(B72,GLOSAS!$C$2:$C$10,1,0)</f>
        <v>#N/A</v>
      </c>
      <c r="G72" s="1">
        <f>VLOOKUP(B72,CANCELADAS!$C$2:$C$506,1,0)</f>
        <v>14116024</v>
      </c>
      <c r="H72" s="1" t="e">
        <f>VLOOKUP(B72,DEVOLUCIONES!$B$2:$B$40,1,0)</f>
        <v>#N/A</v>
      </c>
      <c r="I72" s="24"/>
      <c r="J72" s="24"/>
      <c r="K72" s="24"/>
      <c r="L72" s="24"/>
      <c r="M72" s="24"/>
      <c r="N72" s="24"/>
      <c r="O72" s="24"/>
      <c r="P72" s="24">
        <v>35100</v>
      </c>
      <c r="Q72" s="1">
        <v>2000324562</v>
      </c>
      <c r="R72" s="1" t="s">
        <v>1737</v>
      </c>
      <c r="S72" s="1"/>
      <c r="T72" s="30">
        <f t="shared" si="3"/>
        <v>0</v>
      </c>
    </row>
    <row r="73" spans="1:20" x14ac:dyDescent="0.25">
      <c r="A73" s="1" t="s">
        <v>107</v>
      </c>
      <c r="B73" s="22">
        <v>14117332</v>
      </c>
      <c r="C73" s="24">
        <v>54400</v>
      </c>
      <c r="D73" s="24">
        <v>54400</v>
      </c>
      <c r="E73" s="1" t="e">
        <f>VLOOKUP(B73,CXP!$C$2:$C$4,1,0)</f>
        <v>#N/A</v>
      </c>
      <c r="F73" s="1" t="e">
        <f>VLOOKUP(B73,GLOSAS!$C$2:$C$10,1,0)</f>
        <v>#N/A</v>
      </c>
      <c r="G73" s="1">
        <f>VLOOKUP(B73,CANCELADAS!$C$2:$C$506,1,0)</f>
        <v>14117332</v>
      </c>
      <c r="H73" s="1" t="e">
        <f>VLOOKUP(B73,DEVOLUCIONES!$B$2:$B$40,1,0)</f>
        <v>#N/A</v>
      </c>
      <c r="I73" s="24"/>
      <c r="J73" s="24"/>
      <c r="K73" s="24"/>
      <c r="L73" s="24"/>
      <c r="M73" s="24"/>
      <c r="N73" s="24"/>
      <c r="O73" s="24"/>
      <c r="P73" s="24">
        <v>54400</v>
      </c>
      <c r="Q73" s="1">
        <v>2000324562</v>
      </c>
      <c r="R73" s="1" t="s">
        <v>1737</v>
      </c>
      <c r="S73" s="1"/>
      <c r="T73" s="30">
        <f t="shared" si="3"/>
        <v>0</v>
      </c>
    </row>
    <row r="74" spans="1:20" x14ac:dyDescent="0.25">
      <c r="A74" s="1" t="s">
        <v>108</v>
      </c>
      <c r="B74" s="22">
        <v>14117670</v>
      </c>
      <c r="C74" s="24">
        <v>467100</v>
      </c>
      <c r="D74" s="24">
        <v>467100</v>
      </c>
      <c r="E74" s="1" t="e">
        <f>VLOOKUP(B74,CXP!$C$2:$C$4,1,0)</f>
        <v>#N/A</v>
      </c>
      <c r="F74" s="1" t="e">
        <f>VLOOKUP(B74,GLOSAS!$C$2:$C$10,1,0)</f>
        <v>#N/A</v>
      </c>
      <c r="G74" s="1">
        <f>VLOOKUP(B74,CANCELADAS!$C$2:$C$506,1,0)</f>
        <v>14117670</v>
      </c>
      <c r="H74" s="1" t="e">
        <f>VLOOKUP(B74,DEVOLUCIONES!$B$2:$B$40,1,0)</f>
        <v>#N/A</v>
      </c>
      <c r="I74" s="24"/>
      <c r="J74" s="24"/>
      <c r="K74" s="24"/>
      <c r="L74" s="24"/>
      <c r="M74" s="24"/>
      <c r="N74" s="24"/>
      <c r="O74" s="24"/>
      <c r="P74" s="24">
        <v>467100</v>
      </c>
      <c r="Q74" s="1">
        <v>2000324562</v>
      </c>
      <c r="R74" s="1" t="s">
        <v>1737</v>
      </c>
      <c r="S74" s="1"/>
      <c r="T74" s="30">
        <f t="shared" si="3"/>
        <v>0</v>
      </c>
    </row>
    <row r="75" spans="1:20" x14ac:dyDescent="0.25">
      <c r="A75" s="1" t="s">
        <v>109</v>
      </c>
      <c r="B75" s="22">
        <v>14121486</v>
      </c>
      <c r="C75" s="24">
        <v>33200</v>
      </c>
      <c r="D75" s="24">
        <v>33200</v>
      </c>
      <c r="E75" s="1" t="e">
        <f>VLOOKUP(B75,CXP!$C$2:$C$4,1,0)</f>
        <v>#N/A</v>
      </c>
      <c r="F75" s="1" t="e">
        <f>VLOOKUP(B75,GLOSAS!$C$2:$C$10,1,0)</f>
        <v>#N/A</v>
      </c>
      <c r="G75" s="1">
        <f>VLOOKUP(B75,CANCELADAS!$C$2:$C$506,1,0)</f>
        <v>14121486</v>
      </c>
      <c r="H75" s="1" t="e">
        <f>VLOOKUP(B75,DEVOLUCIONES!$B$2:$B$40,1,0)</f>
        <v>#N/A</v>
      </c>
      <c r="I75" s="24"/>
      <c r="J75" s="24"/>
      <c r="K75" s="24"/>
      <c r="L75" s="24"/>
      <c r="M75" s="24"/>
      <c r="N75" s="24"/>
      <c r="O75" s="24"/>
      <c r="P75" s="24">
        <v>33200</v>
      </c>
      <c r="Q75" s="1">
        <v>2000324562</v>
      </c>
      <c r="R75" s="1" t="s">
        <v>1737</v>
      </c>
      <c r="S75" s="1"/>
      <c r="T75" s="30">
        <f t="shared" si="3"/>
        <v>0</v>
      </c>
    </row>
    <row r="76" spans="1:20" x14ac:dyDescent="0.25">
      <c r="A76" s="1" t="s">
        <v>110</v>
      </c>
      <c r="B76" s="22">
        <v>14127066</v>
      </c>
      <c r="C76" s="24">
        <v>328229</v>
      </c>
      <c r="D76" s="24">
        <v>328229</v>
      </c>
      <c r="E76" s="1" t="e">
        <f>VLOOKUP(B76,CXP!$C$2:$C$4,1,0)</f>
        <v>#N/A</v>
      </c>
      <c r="F76" s="1" t="e">
        <f>VLOOKUP(B76,GLOSAS!$C$2:$C$10,1,0)</f>
        <v>#N/A</v>
      </c>
      <c r="G76" s="1">
        <f>VLOOKUP(B76,CANCELADAS!$C$2:$C$506,1,0)</f>
        <v>14127066</v>
      </c>
      <c r="H76" s="1" t="e">
        <f>VLOOKUP(B76,DEVOLUCIONES!$B$2:$B$40,1,0)</f>
        <v>#N/A</v>
      </c>
      <c r="I76" s="24"/>
      <c r="J76" s="24"/>
      <c r="K76" s="24"/>
      <c r="L76" s="24"/>
      <c r="M76" s="24"/>
      <c r="N76" s="24"/>
      <c r="O76" s="24"/>
      <c r="P76" s="24">
        <v>328229</v>
      </c>
      <c r="Q76" s="1">
        <v>2000324562</v>
      </c>
      <c r="R76" s="1" t="s">
        <v>1737</v>
      </c>
      <c r="S76" s="1"/>
      <c r="T76" s="30">
        <f t="shared" si="3"/>
        <v>0</v>
      </c>
    </row>
    <row r="77" spans="1:20" x14ac:dyDescent="0.25">
      <c r="A77" s="1" t="s">
        <v>111</v>
      </c>
      <c r="B77" s="22">
        <v>14128080</v>
      </c>
      <c r="C77" s="24">
        <v>61610</v>
      </c>
      <c r="D77" s="24">
        <v>61610</v>
      </c>
      <c r="E77" s="1" t="e">
        <f>VLOOKUP(B77,CXP!$C$2:$C$4,1,0)</f>
        <v>#N/A</v>
      </c>
      <c r="F77" s="1" t="e">
        <f>VLOOKUP(B77,GLOSAS!$C$2:$C$10,1,0)</f>
        <v>#N/A</v>
      </c>
      <c r="G77" s="1">
        <f>VLOOKUP(B77,CANCELADAS!$C$2:$C$506,1,0)</f>
        <v>14128080</v>
      </c>
      <c r="H77" s="1" t="e">
        <f>VLOOKUP(B77,DEVOLUCIONES!$B$2:$B$40,1,0)</f>
        <v>#N/A</v>
      </c>
      <c r="I77" s="24"/>
      <c r="J77" s="24"/>
      <c r="K77" s="24"/>
      <c r="L77" s="24"/>
      <c r="M77" s="24"/>
      <c r="N77" s="24"/>
      <c r="O77" s="24"/>
      <c r="P77" s="24">
        <v>61610</v>
      </c>
      <c r="Q77" s="1">
        <v>2000324562</v>
      </c>
      <c r="R77" s="1" t="s">
        <v>1737</v>
      </c>
      <c r="S77" s="1"/>
      <c r="T77" s="30">
        <f t="shared" si="3"/>
        <v>0</v>
      </c>
    </row>
    <row r="78" spans="1:20" x14ac:dyDescent="0.25">
      <c r="A78" s="1" t="s">
        <v>112</v>
      </c>
      <c r="B78" s="22">
        <v>14128051</v>
      </c>
      <c r="C78" s="24">
        <v>170876</v>
      </c>
      <c r="D78" s="24">
        <v>170876</v>
      </c>
      <c r="E78" s="1" t="e">
        <f>VLOOKUP(B78,CXP!$C$2:$C$4,1,0)</f>
        <v>#N/A</v>
      </c>
      <c r="F78" s="1" t="e">
        <f>VLOOKUP(B78,GLOSAS!$C$2:$C$10,1,0)</f>
        <v>#N/A</v>
      </c>
      <c r="G78" s="1">
        <f>VLOOKUP(B78,CANCELADAS!$C$2:$C$506,1,0)</f>
        <v>14128051</v>
      </c>
      <c r="H78" s="1" t="e">
        <f>VLOOKUP(B78,DEVOLUCIONES!$B$2:$B$40,1,0)</f>
        <v>#N/A</v>
      </c>
      <c r="I78" s="24"/>
      <c r="J78" s="24"/>
      <c r="K78" s="24"/>
      <c r="L78" s="24"/>
      <c r="M78" s="24"/>
      <c r="N78" s="24"/>
      <c r="O78" s="24"/>
      <c r="P78" s="24">
        <v>170876</v>
      </c>
      <c r="Q78" s="1">
        <v>2000324562</v>
      </c>
      <c r="R78" s="1" t="s">
        <v>1737</v>
      </c>
      <c r="S78" s="1"/>
      <c r="T78" s="30">
        <f t="shared" si="3"/>
        <v>0</v>
      </c>
    </row>
    <row r="79" spans="1:20" x14ac:dyDescent="0.25">
      <c r="A79" s="1" t="s">
        <v>113</v>
      </c>
      <c r="B79" s="22">
        <v>14128886</v>
      </c>
      <c r="C79" s="24">
        <v>183900</v>
      </c>
      <c r="D79" s="24">
        <v>183900</v>
      </c>
      <c r="E79" s="1" t="e">
        <f>VLOOKUP(B79,CXP!$C$2:$C$4,1,0)</f>
        <v>#N/A</v>
      </c>
      <c r="F79" s="1" t="e">
        <f>VLOOKUP(B79,GLOSAS!$C$2:$C$10,1,0)</f>
        <v>#N/A</v>
      </c>
      <c r="G79" s="1">
        <f>VLOOKUP(B79,CANCELADAS!$C$2:$C$506,1,0)</f>
        <v>14128886</v>
      </c>
      <c r="H79" s="1" t="e">
        <f>VLOOKUP(B79,DEVOLUCIONES!$B$2:$B$40,1,0)</f>
        <v>#N/A</v>
      </c>
      <c r="I79" s="24"/>
      <c r="J79" s="24"/>
      <c r="K79" s="24"/>
      <c r="L79" s="24"/>
      <c r="M79" s="24"/>
      <c r="N79" s="24"/>
      <c r="O79" s="24"/>
      <c r="P79" s="24">
        <v>183900</v>
      </c>
      <c r="Q79" s="1">
        <v>2000299817</v>
      </c>
      <c r="R79" s="1" t="s">
        <v>1735</v>
      </c>
      <c r="S79" s="1"/>
      <c r="T79" s="30">
        <f t="shared" si="3"/>
        <v>0</v>
      </c>
    </row>
    <row r="80" spans="1:20" x14ac:dyDescent="0.25">
      <c r="A80" s="1" t="s">
        <v>114</v>
      </c>
      <c r="B80" s="22">
        <v>14129197</v>
      </c>
      <c r="C80" s="24">
        <v>120545</v>
      </c>
      <c r="D80" s="24">
        <v>120545</v>
      </c>
      <c r="E80" s="1" t="e">
        <f>VLOOKUP(B80,CXP!$C$2:$C$4,1,0)</f>
        <v>#N/A</v>
      </c>
      <c r="F80" s="1" t="e">
        <f>VLOOKUP(B80,GLOSAS!$C$2:$C$10,1,0)</f>
        <v>#N/A</v>
      </c>
      <c r="G80" s="1">
        <f>VLOOKUP(B80,CANCELADAS!$C$2:$C$506,1,0)</f>
        <v>14129197</v>
      </c>
      <c r="H80" s="1" t="e">
        <f>VLOOKUP(B80,DEVOLUCIONES!$B$2:$B$40,1,0)</f>
        <v>#N/A</v>
      </c>
      <c r="I80" s="24"/>
      <c r="J80" s="24"/>
      <c r="K80" s="24"/>
      <c r="L80" s="24"/>
      <c r="M80" s="24"/>
      <c r="N80" s="24"/>
      <c r="O80" s="24"/>
      <c r="P80" s="24">
        <v>120545</v>
      </c>
      <c r="Q80" s="1">
        <v>2000324562</v>
      </c>
      <c r="R80" s="1" t="s">
        <v>1737</v>
      </c>
      <c r="S80" s="1"/>
      <c r="T80" s="30">
        <f t="shared" si="3"/>
        <v>0</v>
      </c>
    </row>
    <row r="81" spans="1:20" x14ac:dyDescent="0.25">
      <c r="A81" s="1" t="s">
        <v>115</v>
      </c>
      <c r="B81" s="22">
        <v>14129868</v>
      </c>
      <c r="C81" s="24">
        <v>24000</v>
      </c>
      <c r="D81" s="24">
        <v>24000</v>
      </c>
      <c r="E81" s="1" t="e">
        <f>VLOOKUP(B81,CXP!$C$2:$C$4,1,0)</f>
        <v>#N/A</v>
      </c>
      <c r="F81" s="1" t="e">
        <f>VLOOKUP(B81,GLOSAS!$C$2:$C$10,1,0)</f>
        <v>#N/A</v>
      </c>
      <c r="G81" s="1">
        <f>VLOOKUP(B81,CANCELADAS!$C$2:$C$506,1,0)</f>
        <v>14129868</v>
      </c>
      <c r="H81" s="1" t="e">
        <f>VLOOKUP(B81,DEVOLUCIONES!$B$2:$B$40,1,0)</f>
        <v>#N/A</v>
      </c>
      <c r="I81" s="24"/>
      <c r="J81" s="24"/>
      <c r="K81" s="24"/>
      <c r="L81" s="24"/>
      <c r="M81" s="24"/>
      <c r="N81" s="24"/>
      <c r="O81" s="24"/>
      <c r="P81" s="24">
        <v>24000</v>
      </c>
      <c r="Q81" s="1">
        <v>2000324562</v>
      </c>
      <c r="R81" s="1" t="s">
        <v>1737</v>
      </c>
      <c r="S81" s="1"/>
      <c r="T81" s="30">
        <f t="shared" si="3"/>
        <v>0</v>
      </c>
    </row>
    <row r="82" spans="1:20" x14ac:dyDescent="0.25">
      <c r="A82" s="1" t="s">
        <v>116</v>
      </c>
      <c r="B82" s="22">
        <v>14129879</v>
      </c>
      <c r="C82" s="24">
        <v>47800</v>
      </c>
      <c r="D82" s="24">
        <v>47800</v>
      </c>
      <c r="E82" s="1" t="e">
        <f>VLOOKUP(B82,CXP!$C$2:$C$4,1,0)</f>
        <v>#N/A</v>
      </c>
      <c r="F82" s="1" t="e">
        <f>VLOOKUP(B82,GLOSAS!$C$2:$C$10,1,0)</f>
        <v>#N/A</v>
      </c>
      <c r="G82" s="1">
        <f>VLOOKUP(B82,CANCELADAS!$C$2:$C$506,1,0)</f>
        <v>14129879</v>
      </c>
      <c r="H82" s="1" t="e">
        <f>VLOOKUP(B82,DEVOLUCIONES!$B$2:$B$40,1,0)</f>
        <v>#N/A</v>
      </c>
      <c r="I82" s="24"/>
      <c r="J82" s="24"/>
      <c r="K82" s="24"/>
      <c r="L82" s="24"/>
      <c r="M82" s="24"/>
      <c r="N82" s="24"/>
      <c r="O82" s="24"/>
      <c r="P82" s="24">
        <v>47800</v>
      </c>
      <c r="Q82" s="1">
        <v>2000324562</v>
      </c>
      <c r="R82" s="1" t="s">
        <v>1737</v>
      </c>
      <c r="S82" s="1"/>
      <c r="T82" s="30">
        <f t="shared" si="3"/>
        <v>0</v>
      </c>
    </row>
    <row r="83" spans="1:20" x14ac:dyDescent="0.25">
      <c r="A83" s="1" t="s">
        <v>117</v>
      </c>
      <c r="B83" s="22">
        <v>14130160</v>
      </c>
      <c r="C83" s="24">
        <v>47800</v>
      </c>
      <c r="D83" s="24">
        <v>47800</v>
      </c>
      <c r="E83" s="1" t="e">
        <f>VLOOKUP(B83,CXP!$C$2:$C$4,1,0)</f>
        <v>#N/A</v>
      </c>
      <c r="F83" s="1" t="e">
        <f>VLOOKUP(B83,GLOSAS!$C$2:$C$10,1,0)</f>
        <v>#N/A</v>
      </c>
      <c r="G83" s="1">
        <f>VLOOKUP(B83,CANCELADAS!$C$2:$C$506,1,0)</f>
        <v>14130160</v>
      </c>
      <c r="H83" s="1" t="e">
        <f>VLOOKUP(B83,DEVOLUCIONES!$B$2:$B$40,1,0)</f>
        <v>#N/A</v>
      </c>
      <c r="I83" s="24"/>
      <c r="J83" s="24"/>
      <c r="K83" s="24"/>
      <c r="L83" s="24"/>
      <c r="M83" s="24"/>
      <c r="N83" s="24"/>
      <c r="O83" s="24"/>
      <c r="P83" s="24">
        <v>47800</v>
      </c>
      <c r="Q83" s="1">
        <v>2000324562</v>
      </c>
      <c r="R83" s="1" t="s">
        <v>1737</v>
      </c>
      <c r="S83" s="1"/>
      <c r="T83" s="30">
        <f t="shared" si="3"/>
        <v>0</v>
      </c>
    </row>
    <row r="84" spans="1:20" x14ac:dyDescent="0.25">
      <c r="A84" s="1" t="s">
        <v>118</v>
      </c>
      <c r="B84" s="22">
        <v>14139579</v>
      </c>
      <c r="C84" s="24">
        <v>33200</v>
      </c>
      <c r="D84" s="24">
        <v>33200</v>
      </c>
      <c r="E84" s="1" t="e">
        <f>VLOOKUP(B84,CXP!$C$2:$C$4,1,0)</f>
        <v>#N/A</v>
      </c>
      <c r="F84" s="1" t="e">
        <f>VLOOKUP(B84,GLOSAS!$C$2:$C$10,1,0)</f>
        <v>#N/A</v>
      </c>
      <c r="G84" s="1">
        <f>VLOOKUP(B84,CANCELADAS!$C$2:$C$506,1,0)</f>
        <v>14139579</v>
      </c>
      <c r="H84" s="1" t="e">
        <f>VLOOKUP(B84,DEVOLUCIONES!$B$2:$B$40,1,0)</f>
        <v>#N/A</v>
      </c>
      <c r="I84" s="24"/>
      <c r="J84" s="24"/>
      <c r="K84" s="24"/>
      <c r="L84" s="24"/>
      <c r="M84" s="24"/>
      <c r="N84" s="24"/>
      <c r="O84" s="24"/>
      <c r="P84" s="24">
        <v>33200</v>
      </c>
      <c r="Q84" s="1">
        <v>2000324562</v>
      </c>
      <c r="R84" s="1" t="s">
        <v>1737</v>
      </c>
      <c r="S84" s="1"/>
      <c r="T84" s="30">
        <f t="shared" si="3"/>
        <v>0</v>
      </c>
    </row>
    <row r="85" spans="1:20" x14ac:dyDescent="0.25">
      <c r="A85" s="1" t="s">
        <v>119</v>
      </c>
      <c r="B85" s="22">
        <v>14141346</v>
      </c>
      <c r="C85" s="24">
        <v>24000</v>
      </c>
      <c r="D85" s="24">
        <v>23805</v>
      </c>
      <c r="E85" s="1" t="e">
        <f>VLOOKUP(B85,CXP!$C$2:$C$4,1,0)</f>
        <v>#N/A</v>
      </c>
      <c r="F85" s="1" t="e">
        <f>VLOOKUP(B85,GLOSAS!$C$2:$C$10,1,0)</f>
        <v>#N/A</v>
      </c>
      <c r="G85" s="1">
        <f>VLOOKUP(B85,CANCELADAS!$C$2:$C$506,1,0)</f>
        <v>14141346</v>
      </c>
      <c r="H85" s="1" t="e">
        <f>VLOOKUP(B85,DEVOLUCIONES!$B$2:$B$40,1,0)</f>
        <v>#N/A</v>
      </c>
      <c r="I85" s="24"/>
      <c r="J85" s="24"/>
      <c r="K85" s="24"/>
      <c r="L85" s="24"/>
      <c r="M85" s="24"/>
      <c r="N85" s="24"/>
      <c r="O85" s="24"/>
      <c r="P85" s="24">
        <v>23805</v>
      </c>
      <c r="Q85" s="1">
        <v>2000299817</v>
      </c>
      <c r="R85" s="1" t="s">
        <v>1735</v>
      </c>
      <c r="S85" s="1"/>
      <c r="T85" s="30">
        <f t="shared" si="3"/>
        <v>0</v>
      </c>
    </row>
    <row r="86" spans="1:20" x14ac:dyDescent="0.25">
      <c r="A86" s="1" t="s">
        <v>120</v>
      </c>
      <c r="B86" s="22">
        <v>14141827</v>
      </c>
      <c r="C86" s="24">
        <v>238212</v>
      </c>
      <c r="D86" s="24">
        <v>238212</v>
      </c>
      <c r="E86" s="1" t="e">
        <f>VLOOKUP(B86,CXP!$C$2:$C$4,1,0)</f>
        <v>#N/A</v>
      </c>
      <c r="F86" s="1" t="e">
        <f>VLOOKUP(B86,GLOSAS!$C$2:$C$10,1,0)</f>
        <v>#N/A</v>
      </c>
      <c r="G86" s="1">
        <f>VLOOKUP(B86,CANCELADAS!$C$2:$C$506,1,0)</f>
        <v>14141827</v>
      </c>
      <c r="H86" s="1" t="e">
        <f>VLOOKUP(B86,DEVOLUCIONES!$B$2:$B$40,1,0)</f>
        <v>#N/A</v>
      </c>
      <c r="I86" s="24"/>
      <c r="J86" s="24"/>
      <c r="K86" s="24"/>
      <c r="L86" s="24"/>
      <c r="M86" s="24"/>
      <c r="N86" s="24"/>
      <c r="O86" s="24"/>
      <c r="P86" s="24">
        <v>238212</v>
      </c>
      <c r="Q86" s="1">
        <v>2000324562</v>
      </c>
      <c r="R86" s="1" t="s">
        <v>1737</v>
      </c>
      <c r="S86" s="1"/>
      <c r="T86" s="30">
        <f t="shared" si="3"/>
        <v>0</v>
      </c>
    </row>
    <row r="87" spans="1:20" x14ac:dyDescent="0.25">
      <c r="A87" s="1" t="s">
        <v>121</v>
      </c>
      <c r="B87" s="22">
        <v>14142132</v>
      </c>
      <c r="C87" s="24">
        <v>47800</v>
      </c>
      <c r="D87" s="24">
        <v>47800</v>
      </c>
      <c r="E87" s="1" t="e">
        <f>VLOOKUP(B87,CXP!$C$2:$C$4,1,0)</f>
        <v>#N/A</v>
      </c>
      <c r="F87" s="1" t="e">
        <f>VLOOKUP(B87,GLOSAS!$C$2:$C$10,1,0)</f>
        <v>#N/A</v>
      </c>
      <c r="G87" s="1">
        <f>VLOOKUP(B87,CANCELADAS!$C$2:$C$506,1,0)</f>
        <v>14142132</v>
      </c>
      <c r="H87" s="1" t="e">
        <f>VLOOKUP(B87,DEVOLUCIONES!$B$2:$B$40,1,0)</f>
        <v>#N/A</v>
      </c>
      <c r="I87" s="24"/>
      <c r="J87" s="24"/>
      <c r="K87" s="24"/>
      <c r="L87" s="24"/>
      <c r="M87" s="24"/>
      <c r="N87" s="24"/>
      <c r="O87" s="24"/>
      <c r="P87" s="24">
        <v>47800</v>
      </c>
      <c r="Q87" s="1">
        <v>2000299817</v>
      </c>
      <c r="R87" s="1" t="s">
        <v>1735</v>
      </c>
      <c r="S87" s="1"/>
      <c r="T87" s="30">
        <f t="shared" si="3"/>
        <v>0</v>
      </c>
    </row>
    <row r="88" spans="1:20" x14ac:dyDescent="0.25">
      <c r="A88" s="1" t="s">
        <v>122</v>
      </c>
      <c r="B88" s="22">
        <v>14144255</v>
      </c>
      <c r="C88" s="24">
        <v>367885</v>
      </c>
      <c r="D88" s="24">
        <v>367885</v>
      </c>
      <c r="E88" s="1" t="e">
        <f>VLOOKUP(B88,CXP!$C$2:$C$4,1,0)</f>
        <v>#N/A</v>
      </c>
      <c r="F88" s="1" t="e">
        <f>VLOOKUP(B88,GLOSAS!$C$2:$C$10,1,0)</f>
        <v>#N/A</v>
      </c>
      <c r="G88" s="1">
        <f>VLOOKUP(B88,CANCELADAS!$C$2:$C$506,1,0)</f>
        <v>14144255</v>
      </c>
      <c r="H88" s="1" t="e">
        <f>VLOOKUP(B88,DEVOLUCIONES!$B$2:$B$40,1,0)</f>
        <v>#N/A</v>
      </c>
      <c r="I88" s="24"/>
      <c r="J88" s="24"/>
      <c r="K88" s="24"/>
      <c r="L88" s="24"/>
      <c r="M88" s="24"/>
      <c r="N88" s="24"/>
      <c r="O88" s="24"/>
      <c r="P88" s="24">
        <v>367885</v>
      </c>
      <c r="Q88" s="1">
        <v>2000324562</v>
      </c>
      <c r="R88" s="1" t="s">
        <v>1737</v>
      </c>
      <c r="S88" s="1"/>
      <c r="T88" s="30">
        <f t="shared" si="3"/>
        <v>0</v>
      </c>
    </row>
    <row r="89" spans="1:20" x14ac:dyDescent="0.25">
      <c r="A89" s="1" t="s">
        <v>123</v>
      </c>
      <c r="B89" s="22">
        <v>14145952</v>
      </c>
      <c r="C89" s="24">
        <v>54852</v>
      </c>
      <c r="D89" s="24">
        <v>54852</v>
      </c>
      <c r="E89" s="1" t="e">
        <f>VLOOKUP(B89,CXP!$C$2:$C$4,1,0)</f>
        <v>#N/A</v>
      </c>
      <c r="F89" s="1" t="e">
        <f>VLOOKUP(B89,GLOSAS!$C$2:$C$10,1,0)</f>
        <v>#N/A</v>
      </c>
      <c r="G89" s="1">
        <f>VLOOKUP(B89,CANCELADAS!$C$2:$C$506,1,0)</f>
        <v>14145952</v>
      </c>
      <c r="H89" s="1" t="e">
        <f>VLOOKUP(B89,DEVOLUCIONES!$B$2:$B$40,1,0)</f>
        <v>#N/A</v>
      </c>
      <c r="I89" s="24"/>
      <c r="J89" s="24"/>
      <c r="K89" s="24"/>
      <c r="L89" s="24"/>
      <c r="M89" s="24"/>
      <c r="N89" s="24"/>
      <c r="O89" s="24"/>
      <c r="P89" s="24">
        <v>54852</v>
      </c>
      <c r="Q89" s="1">
        <v>2000324562</v>
      </c>
      <c r="R89" s="1" t="s">
        <v>1737</v>
      </c>
      <c r="S89" s="1"/>
      <c r="T89" s="30">
        <f t="shared" si="3"/>
        <v>0</v>
      </c>
    </row>
    <row r="90" spans="1:20" x14ac:dyDescent="0.25">
      <c r="A90" s="1" t="s">
        <v>124</v>
      </c>
      <c r="B90" s="22">
        <v>14152100</v>
      </c>
      <c r="C90" s="24">
        <v>59366</v>
      </c>
      <c r="D90" s="24">
        <v>59366</v>
      </c>
      <c r="E90" s="1" t="e">
        <f>VLOOKUP(B90,CXP!$C$2:$C$4,1,0)</f>
        <v>#N/A</v>
      </c>
      <c r="F90" s="1" t="e">
        <f>VLOOKUP(B90,GLOSAS!$C$2:$C$10,1,0)</f>
        <v>#N/A</v>
      </c>
      <c r="G90" s="1">
        <f>VLOOKUP(B90,CANCELADAS!$C$2:$C$506,1,0)</f>
        <v>14152100</v>
      </c>
      <c r="H90" s="1" t="e">
        <f>VLOOKUP(B90,DEVOLUCIONES!$B$2:$B$40,1,0)</f>
        <v>#N/A</v>
      </c>
      <c r="I90" s="24"/>
      <c r="J90" s="24"/>
      <c r="K90" s="24"/>
      <c r="L90" s="24"/>
      <c r="M90" s="24"/>
      <c r="N90" s="24"/>
      <c r="O90" s="24"/>
      <c r="P90" s="24">
        <v>59366</v>
      </c>
      <c r="Q90" s="1">
        <v>2000324562</v>
      </c>
      <c r="R90" s="1" t="s">
        <v>1737</v>
      </c>
      <c r="S90" s="1"/>
      <c r="T90" s="30">
        <f t="shared" si="3"/>
        <v>0</v>
      </c>
    </row>
    <row r="91" spans="1:20" x14ac:dyDescent="0.25">
      <c r="A91" s="1" t="s">
        <v>125</v>
      </c>
      <c r="B91" s="22">
        <v>14152839</v>
      </c>
      <c r="C91" s="24">
        <v>69193</v>
      </c>
      <c r="D91" s="24">
        <v>69193</v>
      </c>
      <c r="E91" s="1" t="e">
        <f>VLOOKUP(B91,CXP!$C$2:$C$4,1,0)</f>
        <v>#N/A</v>
      </c>
      <c r="F91" s="1" t="e">
        <f>VLOOKUP(B91,GLOSAS!$C$2:$C$10,1,0)</f>
        <v>#N/A</v>
      </c>
      <c r="G91" s="1">
        <f>VLOOKUP(B91,CANCELADAS!$C$2:$C$506,1,0)</f>
        <v>14152839</v>
      </c>
      <c r="H91" s="1" t="e">
        <f>VLOOKUP(B91,DEVOLUCIONES!$B$2:$B$40,1,0)</f>
        <v>#N/A</v>
      </c>
      <c r="I91" s="24"/>
      <c r="J91" s="24"/>
      <c r="K91" s="24"/>
      <c r="L91" s="24"/>
      <c r="M91" s="24"/>
      <c r="N91" s="24"/>
      <c r="O91" s="24"/>
      <c r="P91" s="24">
        <v>69193</v>
      </c>
      <c r="Q91" s="1">
        <v>2000324562</v>
      </c>
      <c r="R91" s="1" t="s">
        <v>1737</v>
      </c>
      <c r="S91" s="1"/>
      <c r="T91" s="30">
        <f t="shared" si="3"/>
        <v>0</v>
      </c>
    </row>
    <row r="92" spans="1:20" x14ac:dyDescent="0.25">
      <c r="A92" s="1" t="s">
        <v>126</v>
      </c>
      <c r="B92" s="22">
        <v>14152608</v>
      </c>
      <c r="C92" s="24">
        <v>492500</v>
      </c>
      <c r="D92" s="24">
        <v>492500</v>
      </c>
      <c r="E92" s="1" t="e">
        <f>VLOOKUP(B92,CXP!$C$2:$C$4,1,0)</f>
        <v>#N/A</v>
      </c>
      <c r="F92" s="1" t="e">
        <f>VLOOKUP(B92,GLOSAS!$C$2:$C$10,1,0)</f>
        <v>#N/A</v>
      </c>
      <c r="G92" s="1">
        <f>VLOOKUP(B92,CANCELADAS!$C$2:$C$506,1,0)</f>
        <v>14152608</v>
      </c>
      <c r="H92" s="1" t="e">
        <f>VLOOKUP(B92,DEVOLUCIONES!$B$2:$B$40,1,0)</f>
        <v>#N/A</v>
      </c>
      <c r="I92" s="24"/>
      <c r="J92" s="24"/>
      <c r="K92" s="24"/>
      <c r="L92" s="24"/>
      <c r="M92" s="24"/>
      <c r="N92" s="24"/>
      <c r="O92" s="24"/>
      <c r="P92" s="24">
        <v>492500</v>
      </c>
      <c r="Q92" s="1">
        <v>2000324562</v>
      </c>
      <c r="R92" s="1" t="s">
        <v>1737</v>
      </c>
      <c r="S92" s="1"/>
      <c r="T92" s="30">
        <f t="shared" si="3"/>
        <v>0</v>
      </c>
    </row>
    <row r="93" spans="1:20" x14ac:dyDescent="0.25">
      <c r="A93" s="1" t="s">
        <v>127</v>
      </c>
      <c r="B93" s="22">
        <v>14155696</v>
      </c>
      <c r="C93" s="24">
        <v>113894</v>
      </c>
      <c r="D93" s="24">
        <v>113894</v>
      </c>
      <c r="E93" s="1" t="e">
        <f>VLOOKUP(B93,CXP!$C$2:$C$4,1,0)</f>
        <v>#N/A</v>
      </c>
      <c r="F93" s="1" t="e">
        <f>VLOOKUP(B93,GLOSAS!$C$2:$C$10,1,0)</f>
        <v>#N/A</v>
      </c>
      <c r="G93" s="1">
        <f>VLOOKUP(B93,CANCELADAS!$C$2:$C$506,1,0)</f>
        <v>14155696</v>
      </c>
      <c r="H93" s="1" t="e">
        <f>VLOOKUP(B93,DEVOLUCIONES!$B$2:$B$40,1,0)</f>
        <v>#N/A</v>
      </c>
      <c r="I93" s="24"/>
      <c r="J93" s="24"/>
      <c r="K93" s="24"/>
      <c r="L93" s="24"/>
      <c r="M93" s="24"/>
      <c r="N93" s="24"/>
      <c r="O93" s="24"/>
      <c r="P93" s="24">
        <v>113894</v>
      </c>
      <c r="Q93" s="1">
        <v>2000289506</v>
      </c>
      <c r="R93" s="1" t="s">
        <v>1734</v>
      </c>
      <c r="S93" s="1"/>
      <c r="T93" s="30">
        <f t="shared" si="3"/>
        <v>0</v>
      </c>
    </row>
    <row r="94" spans="1:20" x14ac:dyDescent="0.25">
      <c r="A94" s="1" t="s">
        <v>128</v>
      </c>
      <c r="B94" s="22">
        <v>14154915</v>
      </c>
      <c r="C94" s="24">
        <v>2759216</v>
      </c>
      <c r="D94" s="24">
        <v>2759216</v>
      </c>
      <c r="E94" s="1" t="e">
        <f>VLOOKUP(B94,CXP!$C$2:$C$4,1,0)</f>
        <v>#N/A</v>
      </c>
      <c r="F94" s="1" t="e">
        <f>VLOOKUP(B94,GLOSAS!$C$2:$C$10,1,0)</f>
        <v>#N/A</v>
      </c>
      <c r="G94" s="1" t="e">
        <f>VLOOKUP(B94,CANCELADAS!$C$2:$C$506,1,0)</f>
        <v>#N/A</v>
      </c>
      <c r="H94" s="1">
        <f>VLOOKUP(B94,DEVOLUCIONES!$B$2:$B$40,1,0)</f>
        <v>14154915</v>
      </c>
      <c r="I94" s="24"/>
      <c r="J94" s="24">
        <v>2759216</v>
      </c>
      <c r="K94" s="24"/>
      <c r="L94" s="24"/>
      <c r="M94" s="24"/>
      <c r="N94" s="24"/>
      <c r="O94" s="24"/>
      <c r="P94" s="24"/>
      <c r="Q94" s="1" t="s">
        <v>1825</v>
      </c>
      <c r="R94" s="1" t="s">
        <v>1823</v>
      </c>
      <c r="S94" s="1"/>
      <c r="T94" s="30">
        <f t="shared" si="3"/>
        <v>0</v>
      </c>
    </row>
    <row r="95" spans="1:20" x14ac:dyDescent="0.25">
      <c r="A95" s="1" t="s">
        <v>129</v>
      </c>
      <c r="B95" s="22">
        <v>14155779</v>
      </c>
      <c r="C95" s="24">
        <v>144569</v>
      </c>
      <c r="D95" s="24">
        <v>144569</v>
      </c>
      <c r="E95" s="1" t="e">
        <f>VLOOKUP(B95,CXP!$C$2:$C$4,1,0)</f>
        <v>#N/A</v>
      </c>
      <c r="F95" s="1" t="e">
        <f>VLOOKUP(B95,GLOSAS!$C$2:$C$10,1,0)</f>
        <v>#N/A</v>
      </c>
      <c r="G95" s="1">
        <f>VLOOKUP(B95,CANCELADAS!$C$2:$C$506,1,0)</f>
        <v>14155779</v>
      </c>
      <c r="H95" s="1" t="e">
        <f>VLOOKUP(B95,DEVOLUCIONES!$B$2:$B$40,1,0)</f>
        <v>#N/A</v>
      </c>
      <c r="I95" s="24"/>
      <c r="J95" s="24"/>
      <c r="K95" s="24"/>
      <c r="L95" s="24"/>
      <c r="M95" s="24"/>
      <c r="N95" s="24"/>
      <c r="O95" s="24"/>
      <c r="P95" s="24">
        <v>144569</v>
      </c>
      <c r="Q95" s="1">
        <v>2000324562</v>
      </c>
      <c r="R95" s="1" t="s">
        <v>1737</v>
      </c>
      <c r="S95" s="1"/>
      <c r="T95" s="30">
        <f t="shared" si="3"/>
        <v>0</v>
      </c>
    </row>
    <row r="96" spans="1:20" x14ac:dyDescent="0.25">
      <c r="A96" s="1" t="s">
        <v>130</v>
      </c>
      <c r="B96" s="22">
        <v>14157405</v>
      </c>
      <c r="C96" s="24">
        <v>622827</v>
      </c>
      <c r="D96" s="24">
        <v>622827</v>
      </c>
      <c r="E96" s="1" t="e">
        <f>VLOOKUP(B96,CXP!$C$2:$C$4,1,0)</f>
        <v>#N/A</v>
      </c>
      <c r="F96" s="1" t="e">
        <f>VLOOKUP(B96,GLOSAS!$C$2:$C$10,1,0)</f>
        <v>#N/A</v>
      </c>
      <c r="G96" s="1">
        <f>VLOOKUP(B96,CANCELADAS!$C$2:$C$506,1,0)</f>
        <v>14157405</v>
      </c>
      <c r="H96" s="1" t="e">
        <f>VLOOKUP(B96,DEVOLUCIONES!$B$2:$B$40,1,0)</f>
        <v>#N/A</v>
      </c>
      <c r="I96" s="24"/>
      <c r="J96" s="24"/>
      <c r="K96" s="24"/>
      <c r="L96" s="24"/>
      <c r="M96" s="24"/>
      <c r="N96" s="24"/>
      <c r="O96" s="24"/>
      <c r="P96" s="24">
        <v>622827</v>
      </c>
      <c r="Q96" s="1">
        <v>2000324562</v>
      </c>
      <c r="R96" s="1" t="s">
        <v>1737</v>
      </c>
      <c r="S96" s="1"/>
      <c r="T96" s="30">
        <f t="shared" si="3"/>
        <v>0</v>
      </c>
    </row>
    <row r="97" spans="1:20" x14ac:dyDescent="0.25">
      <c r="A97" s="1" t="s">
        <v>131</v>
      </c>
      <c r="B97" s="22">
        <v>14158162</v>
      </c>
      <c r="C97" s="24">
        <v>71500</v>
      </c>
      <c r="D97" s="24">
        <v>71500</v>
      </c>
      <c r="E97" s="1" t="e">
        <f>VLOOKUP(B97,CXP!$C$2:$C$4,1,0)</f>
        <v>#N/A</v>
      </c>
      <c r="F97" s="1" t="e">
        <f>VLOOKUP(B97,GLOSAS!$C$2:$C$10,1,0)</f>
        <v>#N/A</v>
      </c>
      <c r="G97" s="1">
        <f>VLOOKUP(B97,CANCELADAS!$C$2:$C$506,1,0)</f>
        <v>14158162</v>
      </c>
      <c r="H97" s="1" t="e">
        <f>VLOOKUP(B97,DEVOLUCIONES!$B$2:$B$40,1,0)</f>
        <v>#N/A</v>
      </c>
      <c r="I97" s="24"/>
      <c r="J97" s="24"/>
      <c r="K97" s="24"/>
      <c r="L97" s="24"/>
      <c r="M97" s="24"/>
      <c r="N97" s="24"/>
      <c r="O97" s="24"/>
      <c r="P97" s="24">
        <v>71500</v>
      </c>
      <c r="Q97" s="1">
        <v>2000324562</v>
      </c>
      <c r="R97" s="1" t="s">
        <v>1737</v>
      </c>
      <c r="S97" s="1"/>
      <c r="T97" s="30">
        <f t="shared" si="3"/>
        <v>0</v>
      </c>
    </row>
    <row r="98" spans="1:20" x14ac:dyDescent="0.25">
      <c r="A98" s="1" t="s">
        <v>132</v>
      </c>
      <c r="B98" s="22">
        <v>14161328</v>
      </c>
      <c r="C98" s="24">
        <v>22600</v>
      </c>
      <c r="D98" s="24">
        <v>22600</v>
      </c>
      <c r="E98" s="1" t="e">
        <f>VLOOKUP(B98,CXP!$C$2:$C$4,1,0)</f>
        <v>#N/A</v>
      </c>
      <c r="F98" s="1" t="e">
        <f>VLOOKUP(B98,GLOSAS!$C$2:$C$10,1,0)</f>
        <v>#N/A</v>
      </c>
      <c r="G98" s="1">
        <f>VLOOKUP(B98,CANCELADAS!$C$2:$C$506,1,0)</f>
        <v>14161328</v>
      </c>
      <c r="H98" s="1" t="e">
        <f>VLOOKUP(B98,DEVOLUCIONES!$B$2:$B$40,1,0)</f>
        <v>#N/A</v>
      </c>
      <c r="I98" s="24"/>
      <c r="J98" s="24"/>
      <c r="K98" s="24"/>
      <c r="L98" s="24"/>
      <c r="M98" s="24"/>
      <c r="N98" s="24"/>
      <c r="O98" s="24"/>
      <c r="P98" s="24">
        <v>22600</v>
      </c>
      <c r="Q98" s="1">
        <v>2000324562</v>
      </c>
      <c r="R98" s="1" t="s">
        <v>1737</v>
      </c>
      <c r="S98" s="1"/>
      <c r="T98" s="30">
        <f t="shared" si="3"/>
        <v>0</v>
      </c>
    </row>
    <row r="99" spans="1:20" x14ac:dyDescent="0.25">
      <c r="A99" s="1" t="s">
        <v>133</v>
      </c>
      <c r="B99" s="22">
        <v>14161585</v>
      </c>
      <c r="C99" s="24">
        <v>68675</v>
      </c>
      <c r="D99" s="24">
        <v>68675</v>
      </c>
      <c r="E99" s="1" t="e">
        <f>VLOOKUP(B99,CXP!$C$2:$C$4,1,0)</f>
        <v>#N/A</v>
      </c>
      <c r="F99" s="1" t="e">
        <f>VLOOKUP(B99,GLOSAS!$C$2:$C$10,1,0)</f>
        <v>#N/A</v>
      </c>
      <c r="G99" s="1">
        <f>VLOOKUP(B99,CANCELADAS!$C$2:$C$506,1,0)</f>
        <v>14161585</v>
      </c>
      <c r="H99" s="1" t="e">
        <f>VLOOKUP(B99,DEVOLUCIONES!$B$2:$B$40,1,0)</f>
        <v>#N/A</v>
      </c>
      <c r="I99" s="24"/>
      <c r="J99" s="24"/>
      <c r="K99" s="24"/>
      <c r="L99" s="24"/>
      <c r="M99" s="24"/>
      <c r="N99" s="24"/>
      <c r="O99" s="24"/>
      <c r="P99" s="24">
        <v>68675</v>
      </c>
      <c r="Q99" s="1">
        <v>2000324562</v>
      </c>
      <c r="R99" s="1" t="s">
        <v>1737</v>
      </c>
      <c r="S99" s="1"/>
      <c r="T99" s="30">
        <f t="shared" si="3"/>
        <v>0</v>
      </c>
    </row>
    <row r="100" spans="1:20" x14ac:dyDescent="0.25">
      <c r="A100" s="1" t="s">
        <v>134</v>
      </c>
      <c r="B100" s="22">
        <v>14164134</v>
      </c>
      <c r="C100" s="24">
        <v>33200</v>
      </c>
      <c r="D100" s="24">
        <v>33200</v>
      </c>
      <c r="E100" s="1" t="e">
        <f>VLOOKUP(B100,CXP!$C$2:$C$4,1,0)</f>
        <v>#N/A</v>
      </c>
      <c r="F100" s="1" t="e">
        <f>VLOOKUP(B100,GLOSAS!$C$2:$C$10,1,0)</f>
        <v>#N/A</v>
      </c>
      <c r="G100" s="1">
        <f>VLOOKUP(B100,CANCELADAS!$C$2:$C$506,1,0)</f>
        <v>14164134</v>
      </c>
      <c r="H100" s="1" t="e">
        <f>VLOOKUP(B100,DEVOLUCIONES!$B$2:$B$40,1,0)</f>
        <v>#N/A</v>
      </c>
      <c r="I100" s="24"/>
      <c r="J100" s="24"/>
      <c r="K100" s="24"/>
      <c r="L100" s="24"/>
      <c r="M100" s="24"/>
      <c r="N100" s="24"/>
      <c r="O100" s="24"/>
      <c r="P100" s="24">
        <v>33200</v>
      </c>
      <c r="Q100" s="1">
        <v>2000324562</v>
      </c>
      <c r="R100" s="1" t="s">
        <v>1737</v>
      </c>
      <c r="S100" s="1"/>
      <c r="T100" s="30">
        <f t="shared" si="3"/>
        <v>0</v>
      </c>
    </row>
    <row r="101" spans="1:20" x14ac:dyDescent="0.25">
      <c r="A101" s="1" t="s">
        <v>135</v>
      </c>
      <c r="B101" s="22">
        <v>14164139</v>
      </c>
      <c r="C101" s="24">
        <v>33200</v>
      </c>
      <c r="D101" s="24">
        <v>33200</v>
      </c>
      <c r="E101" s="1" t="e">
        <f>VLOOKUP(B101,CXP!$C$2:$C$4,1,0)</f>
        <v>#N/A</v>
      </c>
      <c r="F101" s="1" t="e">
        <f>VLOOKUP(B101,GLOSAS!$C$2:$C$10,1,0)</f>
        <v>#N/A</v>
      </c>
      <c r="G101" s="1">
        <f>VLOOKUP(B101,CANCELADAS!$C$2:$C$506,1,0)</f>
        <v>14164139</v>
      </c>
      <c r="H101" s="1" t="e">
        <f>VLOOKUP(B101,DEVOLUCIONES!$B$2:$B$40,1,0)</f>
        <v>#N/A</v>
      </c>
      <c r="I101" s="24"/>
      <c r="J101" s="24"/>
      <c r="K101" s="24"/>
      <c r="L101" s="24"/>
      <c r="M101" s="24"/>
      <c r="N101" s="24"/>
      <c r="O101" s="24"/>
      <c r="P101" s="24">
        <v>33200</v>
      </c>
      <c r="Q101" s="1">
        <v>2000324562</v>
      </c>
      <c r="R101" s="1" t="s">
        <v>1737</v>
      </c>
      <c r="S101" s="1"/>
      <c r="T101" s="30">
        <f t="shared" si="3"/>
        <v>0</v>
      </c>
    </row>
    <row r="102" spans="1:20" x14ac:dyDescent="0.25">
      <c r="A102" s="1" t="s">
        <v>136</v>
      </c>
      <c r="B102" s="22">
        <v>14168509</v>
      </c>
      <c r="C102" s="24">
        <v>33200</v>
      </c>
      <c r="D102" s="24">
        <v>33200</v>
      </c>
      <c r="E102" s="1" t="e">
        <f>VLOOKUP(B102,CXP!$C$2:$C$4,1,0)</f>
        <v>#N/A</v>
      </c>
      <c r="F102" s="1" t="e">
        <f>VLOOKUP(B102,GLOSAS!$C$2:$C$10,1,0)</f>
        <v>#N/A</v>
      </c>
      <c r="G102" s="1">
        <f>VLOOKUP(B102,CANCELADAS!$C$2:$C$506,1,0)</f>
        <v>14168509</v>
      </c>
      <c r="H102" s="1" t="e">
        <f>VLOOKUP(B102,DEVOLUCIONES!$B$2:$B$40,1,0)</f>
        <v>#N/A</v>
      </c>
      <c r="I102" s="24"/>
      <c r="J102" s="24"/>
      <c r="K102" s="24"/>
      <c r="L102" s="24"/>
      <c r="M102" s="24"/>
      <c r="N102" s="24"/>
      <c r="O102" s="24"/>
      <c r="P102" s="24">
        <v>33200</v>
      </c>
      <c r="Q102" s="1">
        <v>2000324562</v>
      </c>
      <c r="R102" s="1" t="s">
        <v>1737</v>
      </c>
      <c r="S102" s="1"/>
      <c r="T102" s="30">
        <f t="shared" si="3"/>
        <v>0</v>
      </c>
    </row>
    <row r="103" spans="1:20" x14ac:dyDescent="0.25">
      <c r="A103" s="1" t="s">
        <v>137</v>
      </c>
      <c r="B103" s="22">
        <v>14169688</v>
      </c>
      <c r="C103" s="24">
        <v>33200</v>
      </c>
      <c r="D103" s="24">
        <v>33200</v>
      </c>
      <c r="E103" s="1" t="e">
        <f>VLOOKUP(B103,CXP!$C$2:$C$4,1,0)</f>
        <v>#N/A</v>
      </c>
      <c r="F103" s="1" t="e">
        <f>VLOOKUP(B103,GLOSAS!$C$2:$C$10,1,0)</f>
        <v>#N/A</v>
      </c>
      <c r="G103" s="1">
        <f>VLOOKUP(B103,CANCELADAS!$C$2:$C$506,1,0)</f>
        <v>14169688</v>
      </c>
      <c r="H103" s="1" t="e">
        <f>VLOOKUP(B103,DEVOLUCIONES!$B$2:$B$40,1,0)</f>
        <v>#N/A</v>
      </c>
      <c r="I103" s="24"/>
      <c r="J103" s="24"/>
      <c r="K103" s="24"/>
      <c r="L103" s="24"/>
      <c r="M103" s="24"/>
      <c r="N103" s="24"/>
      <c r="O103" s="24"/>
      <c r="P103" s="24">
        <v>33200</v>
      </c>
      <c r="Q103" s="1">
        <v>2000289469</v>
      </c>
      <c r="R103" s="1" t="s">
        <v>1732</v>
      </c>
      <c r="S103" s="1"/>
      <c r="T103" s="30">
        <f t="shared" si="3"/>
        <v>0</v>
      </c>
    </row>
    <row r="104" spans="1:20" x14ac:dyDescent="0.25">
      <c r="A104" s="1" t="s">
        <v>138</v>
      </c>
      <c r="B104" s="22">
        <v>14175038</v>
      </c>
      <c r="C104" s="24">
        <v>22600</v>
      </c>
      <c r="D104" s="24">
        <v>22600</v>
      </c>
      <c r="E104" s="1" t="e">
        <f>VLOOKUP(B104,CXP!$C$2:$C$4,1,0)</f>
        <v>#N/A</v>
      </c>
      <c r="F104" s="1" t="e">
        <f>VLOOKUP(B104,GLOSAS!$C$2:$C$10,1,0)</f>
        <v>#N/A</v>
      </c>
      <c r="G104" s="1">
        <f>VLOOKUP(B104,CANCELADAS!$C$2:$C$506,1,0)</f>
        <v>14175038</v>
      </c>
      <c r="H104" s="1" t="e">
        <f>VLOOKUP(B104,DEVOLUCIONES!$B$2:$B$40,1,0)</f>
        <v>#N/A</v>
      </c>
      <c r="I104" s="24"/>
      <c r="J104" s="24"/>
      <c r="K104" s="24"/>
      <c r="L104" s="24"/>
      <c r="M104" s="24"/>
      <c r="N104" s="24"/>
      <c r="O104" s="24"/>
      <c r="P104" s="24">
        <v>22600</v>
      </c>
      <c r="Q104" s="1">
        <v>2000289469</v>
      </c>
      <c r="R104" s="1" t="s">
        <v>1732</v>
      </c>
      <c r="S104" s="1"/>
      <c r="T104" s="30">
        <f t="shared" si="3"/>
        <v>0</v>
      </c>
    </row>
    <row r="105" spans="1:20" x14ac:dyDescent="0.25">
      <c r="A105" s="1" t="s">
        <v>139</v>
      </c>
      <c r="B105" s="22">
        <v>14175042</v>
      </c>
      <c r="C105" s="24">
        <v>22600</v>
      </c>
      <c r="D105" s="24">
        <v>22600</v>
      </c>
      <c r="E105" s="1" t="e">
        <f>VLOOKUP(B105,CXP!$C$2:$C$4,1,0)</f>
        <v>#N/A</v>
      </c>
      <c r="F105" s="1" t="e">
        <f>VLOOKUP(B105,GLOSAS!$C$2:$C$10,1,0)</f>
        <v>#N/A</v>
      </c>
      <c r="G105" s="1">
        <f>VLOOKUP(B105,CANCELADAS!$C$2:$C$506,1,0)</f>
        <v>14175042</v>
      </c>
      <c r="H105" s="1" t="e">
        <f>VLOOKUP(B105,DEVOLUCIONES!$B$2:$B$40,1,0)</f>
        <v>#N/A</v>
      </c>
      <c r="I105" s="24"/>
      <c r="J105" s="24"/>
      <c r="K105" s="24"/>
      <c r="L105" s="24"/>
      <c r="M105" s="24"/>
      <c r="N105" s="24"/>
      <c r="O105" s="24"/>
      <c r="P105" s="24">
        <v>22600</v>
      </c>
      <c r="Q105" s="1">
        <v>2000289469</v>
      </c>
      <c r="R105" s="1" t="s">
        <v>1732</v>
      </c>
      <c r="S105" s="1"/>
      <c r="T105" s="30">
        <f t="shared" si="3"/>
        <v>0</v>
      </c>
    </row>
    <row r="106" spans="1:20" x14ac:dyDescent="0.25">
      <c r="A106" s="1" t="s">
        <v>140</v>
      </c>
      <c r="B106" s="22">
        <v>14180002</v>
      </c>
      <c r="C106" s="24">
        <v>21200</v>
      </c>
      <c r="D106" s="24">
        <v>21200</v>
      </c>
      <c r="E106" s="1" t="e">
        <f>VLOOKUP(B106,CXP!$C$2:$C$4,1,0)</f>
        <v>#N/A</v>
      </c>
      <c r="F106" s="1" t="e">
        <f>VLOOKUP(B106,GLOSAS!$C$2:$C$10,1,0)</f>
        <v>#N/A</v>
      </c>
      <c r="G106" s="1">
        <f>VLOOKUP(B106,CANCELADAS!$C$2:$C$506,1,0)</f>
        <v>14180002</v>
      </c>
      <c r="H106" s="1" t="e">
        <f>VLOOKUP(B106,DEVOLUCIONES!$B$2:$B$40,1,0)</f>
        <v>#N/A</v>
      </c>
      <c r="I106" s="24"/>
      <c r="J106" s="24"/>
      <c r="K106" s="24"/>
      <c r="L106" s="24"/>
      <c r="M106" s="24"/>
      <c r="N106" s="24"/>
      <c r="O106" s="24"/>
      <c r="P106" s="33">
        <v>21200</v>
      </c>
      <c r="Q106" s="1" t="s">
        <v>1723</v>
      </c>
      <c r="R106" s="1" t="s">
        <v>1743</v>
      </c>
      <c r="S106" s="1"/>
      <c r="T106" s="30">
        <f t="shared" si="3"/>
        <v>0</v>
      </c>
    </row>
    <row r="107" spans="1:20" x14ac:dyDescent="0.25">
      <c r="A107" s="1" t="s">
        <v>141</v>
      </c>
      <c r="B107" s="22">
        <v>14181115</v>
      </c>
      <c r="C107" s="24">
        <v>68675</v>
      </c>
      <c r="D107" s="24">
        <v>68675</v>
      </c>
      <c r="E107" s="1" t="e">
        <f>VLOOKUP(B107,CXP!$C$2:$C$4,1,0)</f>
        <v>#N/A</v>
      </c>
      <c r="F107" s="1" t="e">
        <f>VLOOKUP(B107,GLOSAS!$C$2:$C$10,1,0)</f>
        <v>#N/A</v>
      </c>
      <c r="G107" s="1">
        <f>VLOOKUP(B107,CANCELADAS!$C$2:$C$506,1,0)</f>
        <v>14181115</v>
      </c>
      <c r="H107" s="1" t="e">
        <f>VLOOKUP(B107,DEVOLUCIONES!$B$2:$B$40,1,0)</f>
        <v>#N/A</v>
      </c>
      <c r="I107" s="24"/>
      <c r="J107" s="24"/>
      <c r="K107" s="24"/>
      <c r="L107" s="24"/>
      <c r="M107" s="24"/>
      <c r="N107" s="24"/>
      <c r="O107" s="24"/>
      <c r="P107" s="24">
        <v>68675</v>
      </c>
      <c r="Q107" s="1">
        <v>2000324562</v>
      </c>
      <c r="R107" s="1" t="s">
        <v>1737</v>
      </c>
      <c r="S107" s="1"/>
      <c r="T107" s="30">
        <f t="shared" si="3"/>
        <v>0</v>
      </c>
    </row>
    <row r="108" spans="1:20" x14ac:dyDescent="0.25">
      <c r="A108" s="1" t="s">
        <v>142</v>
      </c>
      <c r="B108" s="22">
        <v>14184434</v>
      </c>
      <c r="C108" s="24">
        <v>882422</v>
      </c>
      <c r="D108" s="24">
        <v>882422</v>
      </c>
      <c r="E108" s="1" t="e">
        <f>VLOOKUP(B108,CXP!$C$2:$C$4,1,0)</f>
        <v>#N/A</v>
      </c>
      <c r="F108" s="1" t="e">
        <f>VLOOKUP(B108,GLOSAS!$C$2:$C$10,1,0)</f>
        <v>#N/A</v>
      </c>
      <c r="G108" s="1">
        <f>VLOOKUP(B108,CANCELADAS!$C$2:$C$506,1,0)</f>
        <v>14184434</v>
      </c>
      <c r="H108" s="1" t="e">
        <f>VLOOKUP(B108,DEVOLUCIONES!$B$2:$B$40,1,0)</f>
        <v>#N/A</v>
      </c>
      <c r="I108" s="24"/>
      <c r="J108" s="24"/>
      <c r="K108" s="24"/>
      <c r="L108" s="24"/>
      <c r="M108" s="24"/>
      <c r="N108" s="24"/>
      <c r="O108" s="24"/>
      <c r="P108" s="24">
        <v>882422</v>
      </c>
      <c r="Q108" s="1">
        <v>2000324562</v>
      </c>
      <c r="R108" s="1" t="s">
        <v>1737</v>
      </c>
      <c r="S108" s="1"/>
      <c r="T108" s="30">
        <f t="shared" si="3"/>
        <v>0</v>
      </c>
    </row>
    <row r="109" spans="1:20" x14ac:dyDescent="0.25">
      <c r="A109" s="1" t="s">
        <v>143</v>
      </c>
      <c r="B109" s="22">
        <v>14187917</v>
      </c>
      <c r="C109" s="24">
        <v>192200</v>
      </c>
      <c r="D109" s="24">
        <v>192200</v>
      </c>
      <c r="E109" s="1" t="e">
        <f>VLOOKUP(B109,CXP!$C$2:$C$4,1,0)</f>
        <v>#N/A</v>
      </c>
      <c r="F109" s="1" t="e">
        <f>VLOOKUP(B109,GLOSAS!$C$2:$C$10,1,0)</f>
        <v>#N/A</v>
      </c>
      <c r="G109" s="1">
        <f>VLOOKUP(B109,CANCELADAS!$C$2:$C$506,1,0)</f>
        <v>14187917</v>
      </c>
      <c r="H109" s="1" t="e">
        <f>VLOOKUP(B109,DEVOLUCIONES!$B$2:$B$40,1,0)</f>
        <v>#N/A</v>
      </c>
      <c r="I109" s="24"/>
      <c r="J109" s="24"/>
      <c r="K109" s="24"/>
      <c r="L109" s="24"/>
      <c r="M109" s="24"/>
      <c r="N109" s="24"/>
      <c r="O109" s="24"/>
      <c r="P109" s="24">
        <v>192200</v>
      </c>
      <c r="Q109" s="1">
        <v>2000324562</v>
      </c>
      <c r="R109" s="1" t="s">
        <v>1737</v>
      </c>
      <c r="S109" s="1"/>
      <c r="T109" s="30">
        <f t="shared" si="3"/>
        <v>0</v>
      </c>
    </row>
    <row r="110" spans="1:20" x14ac:dyDescent="0.25">
      <c r="A110" s="1" t="s">
        <v>144</v>
      </c>
      <c r="B110" s="22">
        <v>14189199</v>
      </c>
      <c r="C110" s="24">
        <v>179900</v>
      </c>
      <c r="D110" s="24">
        <v>179900</v>
      </c>
      <c r="E110" s="1" t="e">
        <f>VLOOKUP(B110,CXP!$C$2:$C$4,1,0)</f>
        <v>#N/A</v>
      </c>
      <c r="F110" s="1">
        <f>VLOOKUP(B110,GLOSAS!$C$2:$C$10,1,0)</f>
        <v>14189199</v>
      </c>
      <c r="G110" s="1">
        <f>VLOOKUP(B110,CANCELADAS!$C$2:$C$506,1,0)</f>
        <v>14189199</v>
      </c>
      <c r="H110" s="1" t="e">
        <f>VLOOKUP(B110,DEVOLUCIONES!$B$2:$B$40,1,0)</f>
        <v>#N/A</v>
      </c>
      <c r="I110" s="24"/>
      <c r="J110" s="24"/>
      <c r="K110" s="24"/>
      <c r="L110" s="24"/>
      <c r="M110" s="24">
        <v>110012</v>
      </c>
      <c r="N110" s="24"/>
      <c r="O110" s="24"/>
      <c r="P110" s="24">
        <v>69888</v>
      </c>
      <c r="Q110" s="1">
        <v>2000324562</v>
      </c>
      <c r="R110" s="1" t="s">
        <v>1737</v>
      </c>
      <c r="S110" s="1"/>
      <c r="T110" s="30">
        <f t="shared" si="3"/>
        <v>0</v>
      </c>
    </row>
    <row r="111" spans="1:20" x14ac:dyDescent="0.25">
      <c r="A111" s="1" t="s">
        <v>145</v>
      </c>
      <c r="B111" s="22">
        <v>14189208</v>
      </c>
      <c r="C111" s="24">
        <v>2832177</v>
      </c>
      <c r="D111" s="24">
        <v>2832177</v>
      </c>
      <c r="E111" s="1" t="e">
        <f>VLOOKUP(B111,CXP!$C$2:$C$4,1,0)</f>
        <v>#N/A</v>
      </c>
      <c r="F111" s="1" t="e">
        <f>VLOOKUP(B111,GLOSAS!$C$2:$C$10,1,0)</f>
        <v>#N/A</v>
      </c>
      <c r="G111" s="1" t="e">
        <f>VLOOKUP(B111,CANCELADAS!$C$2:$C$506,1,0)</f>
        <v>#N/A</v>
      </c>
      <c r="H111" s="1" t="e">
        <f>VLOOKUP(B111,DEVOLUCIONES!$B$2:$B$40,1,0)</f>
        <v>#N/A</v>
      </c>
      <c r="I111" s="24"/>
      <c r="J111" s="24"/>
      <c r="K111" s="24"/>
      <c r="L111" s="24">
        <f>+D111</f>
        <v>2832177</v>
      </c>
      <c r="M111" s="24"/>
      <c r="N111" s="24"/>
      <c r="O111" s="24"/>
      <c r="P111" s="24"/>
      <c r="Q111" s="1"/>
      <c r="R111" s="1" t="s">
        <v>1865</v>
      </c>
      <c r="S111" s="1"/>
      <c r="T111" s="30">
        <f t="shared" si="3"/>
        <v>0</v>
      </c>
    </row>
    <row r="112" spans="1:20" x14ac:dyDescent="0.25">
      <c r="A112" s="1" t="s">
        <v>146</v>
      </c>
      <c r="B112" s="22">
        <v>14189521</v>
      </c>
      <c r="C112" s="24">
        <v>149100</v>
      </c>
      <c r="D112" s="24">
        <v>149100</v>
      </c>
      <c r="E112" s="1" t="e">
        <f>VLOOKUP(B112,CXP!$C$2:$C$4,1,0)</f>
        <v>#N/A</v>
      </c>
      <c r="F112" s="1" t="e">
        <f>VLOOKUP(B112,GLOSAS!$C$2:$C$10,1,0)</f>
        <v>#N/A</v>
      </c>
      <c r="G112" s="1">
        <f>VLOOKUP(B112,CANCELADAS!$C$2:$C$506,1,0)</f>
        <v>14189521</v>
      </c>
      <c r="H112" s="1" t="e">
        <f>VLOOKUP(B112,DEVOLUCIONES!$B$2:$B$40,1,0)</f>
        <v>#N/A</v>
      </c>
      <c r="I112" s="24"/>
      <c r="J112" s="24"/>
      <c r="K112" s="24"/>
      <c r="L112" s="24"/>
      <c r="M112" s="24"/>
      <c r="N112" s="24"/>
      <c r="O112" s="24"/>
      <c r="P112" s="24">
        <v>149100</v>
      </c>
      <c r="Q112" s="1">
        <v>2000324562</v>
      </c>
      <c r="R112" s="1" t="s">
        <v>1737</v>
      </c>
      <c r="S112" s="1"/>
      <c r="T112" s="30">
        <f t="shared" si="3"/>
        <v>0</v>
      </c>
    </row>
    <row r="113" spans="1:20" x14ac:dyDescent="0.25">
      <c r="A113" s="1" t="s">
        <v>147</v>
      </c>
      <c r="B113" s="22">
        <v>14189497</v>
      </c>
      <c r="C113" s="24">
        <v>8990327</v>
      </c>
      <c r="D113" s="24">
        <v>8990327</v>
      </c>
      <c r="E113" s="1" t="e">
        <f>VLOOKUP(B113,CXP!$C$2:$C$4,1,0)</f>
        <v>#N/A</v>
      </c>
      <c r="F113" s="1" t="e">
        <f>VLOOKUP(B113,GLOSAS!$C$2:$C$10,1,0)</f>
        <v>#N/A</v>
      </c>
      <c r="G113" s="1" t="e">
        <f>VLOOKUP(B113,CANCELADAS!$C$2:$C$506,1,0)</f>
        <v>#N/A</v>
      </c>
      <c r="H113" s="1" t="e">
        <f>VLOOKUP(B113,DEVOLUCIONES!$B$2:$B$40,1,0)</f>
        <v>#N/A</v>
      </c>
      <c r="I113" s="24"/>
      <c r="J113" s="24"/>
      <c r="K113" s="24"/>
      <c r="L113" s="24">
        <f>+D113</f>
        <v>8990327</v>
      </c>
      <c r="M113" s="24"/>
      <c r="N113" s="24"/>
      <c r="O113" s="24"/>
      <c r="P113" s="24"/>
      <c r="Q113" s="1"/>
      <c r="R113" s="1" t="s">
        <v>1865</v>
      </c>
      <c r="S113" s="1"/>
      <c r="T113" s="30">
        <f t="shared" si="3"/>
        <v>0</v>
      </c>
    </row>
    <row r="114" spans="1:20" x14ac:dyDescent="0.25">
      <c r="A114" s="1" t="s">
        <v>148</v>
      </c>
      <c r="B114" s="22">
        <v>14190421</v>
      </c>
      <c r="C114" s="24">
        <v>81658</v>
      </c>
      <c r="D114" s="24">
        <v>81658</v>
      </c>
      <c r="E114" s="1" t="e">
        <f>VLOOKUP(B114,CXP!$C$2:$C$4,1,0)</f>
        <v>#N/A</v>
      </c>
      <c r="F114" s="1" t="e">
        <f>VLOOKUP(B114,GLOSAS!$C$2:$C$10,1,0)</f>
        <v>#N/A</v>
      </c>
      <c r="G114" s="1">
        <f>VLOOKUP(B114,CANCELADAS!$C$2:$C$506,1,0)</f>
        <v>14190421</v>
      </c>
      <c r="H114" s="1" t="e">
        <f>VLOOKUP(B114,DEVOLUCIONES!$B$2:$B$40,1,0)</f>
        <v>#N/A</v>
      </c>
      <c r="I114" s="24"/>
      <c r="J114" s="24"/>
      <c r="K114" s="24"/>
      <c r="L114" s="24"/>
      <c r="M114" s="24"/>
      <c r="N114" s="24"/>
      <c r="O114" s="24"/>
      <c r="P114" s="24">
        <v>81658</v>
      </c>
      <c r="Q114" s="1">
        <v>2000324562</v>
      </c>
      <c r="R114" s="1" t="s">
        <v>1737</v>
      </c>
      <c r="S114" s="1"/>
      <c r="T114" s="30">
        <f t="shared" si="3"/>
        <v>0</v>
      </c>
    </row>
    <row r="115" spans="1:20" x14ac:dyDescent="0.25">
      <c r="A115" s="1" t="s">
        <v>149</v>
      </c>
      <c r="B115" s="22">
        <v>14190806</v>
      </c>
      <c r="C115" s="24">
        <v>509762</v>
      </c>
      <c r="D115" s="24">
        <v>509762</v>
      </c>
      <c r="E115" s="1" t="e">
        <f>VLOOKUP(B115,CXP!$C$2:$C$4,1,0)</f>
        <v>#N/A</v>
      </c>
      <c r="F115" s="1" t="e">
        <f>VLOOKUP(B115,GLOSAS!$C$2:$C$10,1,0)</f>
        <v>#N/A</v>
      </c>
      <c r="G115" s="1">
        <f>VLOOKUP(B115,CANCELADAS!$C$2:$C$506,1,0)</f>
        <v>14190806</v>
      </c>
      <c r="H115" s="1" t="e">
        <f>VLOOKUP(B115,DEVOLUCIONES!$B$2:$B$40,1,0)</f>
        <v>#N/A</v>
      </c>
      <c r="I115" s="24"/>
      <c r="J115" s="24"/>
      <c r="K115" s="24"/>
      <c r="L115" s="24"/>
      <c r="M115" s="24"/>
      <c r="N115" s="24"/>
      <c r="O115" s="24"/>
      <c r="P115" s="24">
        <v>509762</v>
      </c>
      <c r="Q115" s="1">
        <v>2000324562</v>
      </c>
      <c r="R115" s="1" t="s">
        <v>1737</v>
      </c>
      <c r="S115" s="1"/>
      <c r="T115" s="30">
        <f t="shared" si="3"/>
        <v>0</v>
      </c>
    </row>
    <row r="116" spans="1:20" x14ac:dyDescent="0.25">
      <c r="A116" s="1" t="s">
        <v>150</v>
      </c>
      <c r="B116" s="22">
        <v>14190539</v>
      </c>
      <c r="C116" s="24">
        <v>550211</v>
      </c>
      <c r="D116" s="24">
        <v>550211</v>
      </c>
      <c r="E116" s="1" t="e">
        <f>VLOOKUP(B116,CXP!$C$2:$C$4,1,0)</f>
        <v>#N/A</v>
      </c>
      <c r="F116" s="1" t="e">
        <f>VLOOKUP(B116,GLOSAS!$C$2:$C$10,1,0)</f>
        <v>#N/A</v>
      </c>
      <c r="G116" s="1">
        <f>VLOOKUP(B116,CANCELADAS!$C$2:$C$506,1,0)</f>
        <v>14190539</v>
      </c>
      <c r="H116" s="1" t="e">
        <f>VLOOKUP(B116,DEVOLUCIONES!$B$2:$B$40,1,0)</f>
        <v>#N/A</v>
      </c>
      <c r="I116" s="24"/>
      <c r="J116" s="24"/>
      <c r="K116" s="24"/>
      <c r="L116" s="24"/>
      <c r="M116" s="24"/>
      <c r="N116" s="24"/>
      <c r="O116" s="24"/>
      <c r="P116" s="24">
        <v>550211</v>
      </c>
      <c r="Q116" s="1">
        <v>2000324562</v>
      </c>
      <c r="R116" s="1" t="s">
        <v>1737</v>
      </c>
      <c r="S116" s="1"/>
      <c r="T116" s="30">
        <f t="shared" si="3"/>
        <v>0</v>
      </c>
    </row>
    <row r="117" spans="1:20" x14ac:dyDescent="0.25">
      <c r="A117" s="1" t="s">
        <v>151</v>
      </c>
      <c r="B117" s="22">
        <v>14192454</v>
      </c>
      <c r="C117" s="24">
        <v>392000</v>
      </c>
      <c r="D117" s="24">
        <v>392000</v>
      </c>
      <c r="E117" s="1" t="e">
        <f>VLOOKUP(B117,CXP!$C$2:$C$4,1,0)</f>
        <v>#N/A</v>
      </c>
      <c r="F117" s="1" t="e">
        <f>VLOOKUP(B117,GLOSAS!$C$2:$C$10,1,0)</f>
        <v>#N/A</v>
      </c>
      <c r="G117" s="1">
        <f>VLOOKUP(B117,CANCELADAS!$C$2:$C$506,1,0)</f>
        <v>14192454</v>
      </c>
      <c r="H117" s="1" t="e">
        <f>VLOOKUP(B117,DEVOLUCIONES!$B$2:$B$40,1,0)</f>
        <v>#N/A</v>
      </c>
      <c r="I117" s="24"/>
      <c r="J117" s="24"/>
      <c r="K117" s="24"/>
      <c r="L117" s="24"/>
      <c r="M117" s="24"/>
      <c r="N117" s="24"/>
      <c r="O117" s="24"/>
      <c r="P117" s="24">
        <v>392000</v>
      </c>
      <c r="Q117" s="1">
        <v>2000324562</v>
      </c>
      <c r="R117" s="1" t="s">
        <v>1737</v>
      </c>
      <c r="S117" s="1"/>
      <c r="T117" s="30">
        <f t="shared" si="3"/>
        <v>0</v>
      </c>
    </row>
    <row r="118" spans="1:20" x14ac:dyDescent="0.25">
      <c r="A118" s="1" t="s">
        <v>152</v>
      </c>
      <c r="B118" s="22">
        <v>14192620</v>
      </c>
      <c r="C118" s="24">
        <v>547943</v>
      </c>
      <c r="D118" s="24">
        <v>547943</v>
      </c>
      <c r="E118" s="1">
        <f>VLOOKUP(B118,CXP!$C$2:$C$4,1,0)</f>
        <v>14192620</v>
      </c>
      <c r="F118" s="1" t="e">
        <f>VLOOKUP(B118,GLOSAS!$C$2:$C$10,1,0)</f>
        <v>#N/A</v>
      </c>
      <c r="G118" s="1" t="e">
        <f>VLOOKUP(B118,CANCELADAS!$C$2:$C$506,1,0)</f>
        <v>#N/A</v>
      </c>
      <c r="H118" s="1" t="e">
        <f>VLOOKUP(B118,DEVOLUCIONES!$B$2:$B$40,1,0)</f>
        <v>#N/A</v>
      </c>
      <c r="I118" s="24">
        <v>547943</v>
      </c>
      <c r="J118" s="24"/>
      <c r="K118" s="24"/>
      <c r="L118" s="24"/>
      <c r="M118" s="24"/>
      <c r="N118" s="24"/>
      <c r="O118" s="24"/>
      <c r="P118" s="24"/>
      <c r="Q118" s="1"/>
      <c r="R118" s="1"/>
      <c r="S118" s="1"/>
      <c r="T118" s="30">
        <f t="shared" si="3"/>
        <v>0</v>
      </c>
    </row>
    <row r="119" spans="1:20" x14ac:dyDescent="0.25">
      <c r="A119" s="1" t="s">
        <v>153</v>
      </c>
      <c r="B119" s="22">
        <v>14193915</v>
      </c>
      <c r="C119" s="24">
        <v>356613</v>
      </c>
      <c r="D119" s="24">
        <v>356613</v>
      </c>
      <c r="E119" s="1" t="e">
        <f>VLOOKUP(B119,CXP!$C$2:$C$4,1,0)</f>
        <v>#N/A</v>
      </c>
      <c r="F119" s="1" t="e">
        <f>VLOOKUP(B119,GLOSAS!$C$2:$C$10,1,0)</f>
        <v>#N/A</v>
      </c>
      <c r="G119" s="1">
        <f>VLOOKUP(B119,CANCELADAS!$C$2:$C$506,1,0)</f>
        <v>14193915</v>
      </c>
      <c r="H119" s="1" t="e">
        <f>VLOOKUP(B119,DEVOLUCIONES!$B$2:$B$40,1,0)</f>
        <v>#N/A</v>
      </c>
      <c r="I119" s="24"/>
      <c r="J119" s="24"/>
      <c r="K119" s="24"/>
      <c r="L119" s="24"/>
      <c r="M119" s="24"/>
      <c r="N119" s="24"/>
      <c r="O119" s="24"/>
      <c r="P119" s="24">
        <v>356613</v>
      </c>
      <c r="Q119" s="1">
        <v>2000324562</v>
      </c>
      <c r="R119" s="1" t="s">
        <v>1737</v>
      </c>
      <c r="S119" s="1"/>
      <c r="T119" s="30">
        <f t="shared" si="3"/>
        <v>0</v>
      </c>
    </row>
    <row r="120" spans="1:20" x14ac:dyDescent="0.25">
      <c r="A120" s="1" t="s">
        <v>154</v>
      </c>
      <c r="B120" s="22">
        <v>14195391</v>
      </c>
      <c r="C120" s="24">
        <v>279946</v>
      </c>
      <c r="D120" s="24">
        <v>279946</v>
      </c>
      <c r="E120" s="1" t="e">
        <f>VLOOKUP(B120,CXP!$C$2:$C$4,1,0)</f>
        <v>#N/A</v>
      </c>
      <c r="F120" s="1" t="e">
        <f>VLOOKUP(B120,GLOSAS!$C$2:$C$10,1,0)</f>
        <v>#N/A</v>
      </c>
      <c r="G120" s="1">
        <f>VLOOKUP(B120,CANCELADAS!$C$2:$C$506,1,0)</f>
        <v>14195391</v>
      </c>
      <c r="H120" s="1" t="e">
        <f>VLOOKUP(B120,DEVOLUCIONES!$B$2:$B$40,1,0)</f>
        <v>#N/A</v>
      </c>
      <c r="I120" s="24"/>
      <c r="J120" s="24"/>
      <c r="K120" s="24"/>
      <c r="L120" s="24"/>
      <c r="M120" s="24"/>
      <c r="N120" s="24"/>
      <c r="O120" s="24"/>
      <c r="P120" s="24">
        <v>279946</v>
      </c>
      <c r="Q120" s="1">
        <v>2000324562</v>
      </c>
      <c r="R120" s="1" t="s">
        <v>1737</v>
      </c>
      <c r="S120" s="1"/>
      <c r="T120" s="30">
        <f t="shared" si="3"/>
        <v>0</v>
      </c>
    </row>
    <row r="121" spans="1:20" x14ac:dyDescent="0.25">
      <c r="A121" s="1" t="s">
        <v>155</v>
      </c>
      <c r="B121" s="22">
        <v>14196891</v>
      </c>
      <c r="C121" s="24">
        <v>191200</v>
      </c>
      <c r="D121" s="24">
        <v>191200</v>
      </c>
      <c r="E121" s="1" t="e">
        <f>VLOOKUP(B121,CXP!$C$2:$C$4,1,0)</f>
        <v>#N/A</v>
      </c>
      <c r="F121" s="1" t="e">
        <f>VLOOKUP(B121,GLOSAS!$C$2:$C$10,1,0)</f>
        <v>#N/A</v>
      </c>
      <c r="G121" s="1">
        <f>VLOOKUP(B121,CANCELADAS!$C$2:$C$506,1,0)</f>
        <v>14196891</v>
      </c>
      <c r="H121" s="1" t="e">
        <f>VLOOKUP(B121,DEVOLUCIONES!$B$2:$B$40,1,0)</f>
        <v>#N/A</v>
      </c>
      <c r="I121" s="24"/>
      <c r="J121" s="24"/>
      <c r="K121" s="24"/>
      <c r="L121" s="24"/>
      <c r="M121" s="24"/>
      <c r="N121" s="24"/>
      <c r="O121" s="24"/>
      <c r="P121" s="24">
        <v>191200</v>
      </c>
      <c r="Q121" s="1">
        <v>2000324562</v>
      </c>
      <c r="R121" s="1" t="s">
        <v>1737</v>
      </c>
      <c r="S121" s="1"/>
      <c r="T121" s="30">
        <f t="shared" si="3"/>
        <v>0</v>
      </c>
    </row>
    <row r="122" spans="1:20" x14ac:dyDescent="0.25">
      <c r="A122" s="1" t="s">
        <v>156</v>
      </c>
      <c r="B122" s="22">
        <v>14196884</v>
      </c>
      <c r="C122" s="24">
        <v>1294827</v>
      </c>
      <c r="D122" s="24">
        <v>1294827</v>
      </c>
      <c r="E122" s="1" t="e">
        <f>VLOOKUP(B122,CXP!$C$2:$C$4,1,0)</f>
        <v>#N/A</v>
      </c>
      <c r="F122" s="1" t="e">
        <f>VLOOKUP(B122,GLOSAS!$C$2:$C$10,1,0)</f>
        <v>#N/A</v>
      </c>
      <c r="G122" s="1" t="e">
        <f>VLOOKUP(B122,CANCELADAS!$C$2:$C$506,1,0)</f>
        <v>#N/A</v>
      </c>
      <c r="H122" s="1">
        <f>VLOOKUP(B122,DEVOLUCIONES!$B$2:$B$40,1,0)</f>
        <v>14196884</v>
      </c>
      <c r="I122" s="24"/>
      <c r="J122" s="24">
        <v>1294827</v>
      </c>
      <c r="K122" s="24"/>
      <c r="L122" s="24"/>
      <c r="M122" s="24"/>
      <c r="N122" s="24"/>
      <c r="O122" s="24"/>
      <c r="P122" s="24"/>
      <c r="Q122" s="1" t="s">
        <v>1821</v>
      </c>
      <c r="R122" s="1" t="s">
        <v>1820</v>
      </c>
      <c r="S122" s="1"/>
      <c r="T122" s="30">
        <f t="shared" si="3"/>
        <v>0</v>
      </c>
    </row>
    <row r="123" spans="1:20" x14ac:dyDescent="0.25">
      <c r="A123" s="1" t="s">
        <v>157</v>
      </c>
      <c r="B123" s="22">
        <v>14198475</v>
      </c>
      <c r="C123" s="24">
        <v>85976</v>
      </c>
      <c r="D123" s="24">
        <v>85976</v>
      </c>
      <c r="E123" s="1" t="e">
        <f>VLOOKUP(B123,CXP!$C$2:$C$4,1,0)</f>
        <v>#N/A</v>
      </c>
      <c r="F123" s="1" t="e">
        <f>VLOOKUP(B123,GLOSAS!$C$2:$C$10,1,0)</f>
        <v>#N/A</v>
      </c>
      <c r="G123" s="1">
        <f>VLOOKUP(B123,CANCELADAS!$C$2:$C$506,1,0)</f>
        <v>14198475</v>
      </c>
      <c r="H123" s="1" t="e">
        <f>VLOOKUP(B123,DEVOLUCIONES!$B$2:$B$40,1,0)</f>
        <v>#N/A</v>
      </c>
      <c r="I123" s="24"/>
      <c r="J123" s="24"/>
      <c r="K123" s="24"/>
      <c r="L123" s="24"/>
      <c r="M123" s="24"/>
      <c r="N123" s="24"/>
      <c r="O123" s="24"/>
      <c r="P123" s="24">
        <v>85976</v>
      </c>
      <c r="Q123" s="1">
        <v>2000324562</v>
      </c>
      <c r="R123" s="1" t="s">
        <v>1737</v>
      </c>
      <c r="S123" s="1"/>
      <c r="T123" s="30">
        <f t="shared" si="3"/>
        <v>0</v>
      </c>
    </row>
    <row r="124" spans="1:20" x14ac:dyDescent="0.25">
      <c r="A124" s="1" t="s">
        <v>158</v>
      </c>
      <c r="B124" s="22">
        <v>14201100</v>
      </c>
      <c r="C124" s="24">
        <v>57600</v>
      </c>
      <c r="D124" s="24">
        <v>57600</v>
      </c>
      <c r="E124" s="1" t="e">
        <f>VLOOKUP(B124,CXP!$C$2:$C$4,1,0)</f>
        <v>#N/A</v>
      </c>
      <c r="F124" s="1" t="e">
        <f>VLOOKUP(B124,GLOSAS!$C$2:$C$10,1,0)</f>
        <v>#N/A</v>
      </c>
      <c r="G124" s="1">
        <f>VLOOKUP(B124,CANCELADAS!$C$2:$C$506,1,0)</f>
        <v>14201100</v>
      </c>
      <c r="H124" s="1" t="e">
        <f>VLOOKUP(B124,DEVOLUCIONES!$B$2:$B$40,1,0)</f>
        <v>#N/A</v>
      </c>
      <c r="I124" s="24"/>
      <c r="J124" s="24"/>
      <c r="K124" s="24"/>
      <c r="L124" s="24"/>
      <c r="M124" s="24"/>
      <c r="N124" s="24"/>
      <c r="O124" s="24"/>
      <c r="P124" s="24">
        <v>57600</v>
      </c>
      <c r="Q124" s="1">
        <v>2000324562</v>
      </c>
      <c r="R124" s="1" t="s">
        <v>1737</v>
      </c>
      <c r="S124" s="1"/>
      <c r="T124" s="30">
        <f t="shared" si="3"/>
        <v>0</v>
      </c>
    </row>
    <row r="125" spans="1:20" x14ac:dyDescent="0.25">
      <c r="A125" s="1" t="s">
        <v>159</v>
      </c>
      <c r="B125" s="22">
        <v>14201185</v>
      </c>
      <c r="C125" s="24">
        <v>113928</v>
      </c>
      <c r="D125" s="24">
        <v>113928</v>
      </c>
      <c r="E125" s="1" t="e">
        <f>VLOOKUP(B125,CXP!$C$2:$C$4,1,0)</f>
        <v>#N/A</v>
      </c>
      <c r="F125" s="1" t="e">
        <f>VLOOKUP(B125,GLOSAS!$C$2:$C$10,1,0)</f>
        <v>#N/A</v>
      </c>
      <c r="G125" s="1">
        <f>VLOOKUP(B125,CANCELADAS!$C$2:$C$506,1,0)</f>
        <v>14201185</v>
      </c>
      <c r="H125" s="1" t="e">
        <f>VLOOKUP(B125,DEVOLUCIONES!$B$2:$B$40,1,0)</f>
        <v>#N/A</v>
      </c>
      <c r="I125" s="24"/>
      <c r="J125" s="24"/>
      <c r="K125" s="24"/>
      <c r="L125" s="24"/>
      <c r="M125" s="24"/>
      <c r="N125" s="24"/>
      <c r="O125" s="24"/>
      <c r="P125" s="24">
        <v>113928</v>
      </c>
      <c r="Q125" s="1">
        <v>2000324562</v>
      </c>
      <c r="R125" s="1" t="s">
        <v>1737</v>
      </c>
      <c r="S125" s="1"/>
      <c r="T125" s="30">
        <f t="shared" si="3"/>
        <v>0</v>
      </c>
    </row>
    <row r="126" spans="1:20" x14ac:dyDescent="0.25">
      <c r="A126" s="1" t="s">
        <v>160</v>
      </c>
      <c r="B126" s="22">
        <v>14206060</v>
      </c>
      <c r="C126" s="24">
        <v>50600</v>
      </c>
      <c r="D126" s="24">
        <v>50600</v>
      </c>
      <c r="E126" s="1" t="e">
        <f>VLOOKUP(B126,CXP!$C$2:$C$4,1,0)</f>
        <v>#N/A</v>
      </c>
      <c r="F126" s="1" t="e">
        <f>VLOOKUP(B126,GLOSAS!$C$2:$C$10,1,0)</f>
        <v>#N/A</v>
      </c>
      <c r="G126" s="1">
        <f>VLOOKUP(B126,CANCELADAS!$C$2:$C$506,1,0)</f>
        <v>14206060</v>
      </c>
      <c r="H126" s="1" t="e">
        <f>VLOOKUP(B126,DEVOLUCIONES!$B$2:$B$40,1,0)</f>
        <v>#N/A</v>
      </c>
      <c r="I126" s="24"/>
      <c r="J126" s="24"/>
      <c r="K126" s="24"/>
      <c r="L126" s="24"/>
      <c r="M126" s="24"/>
      <c r="N126" s="24"/>
      <c r="O126" s="24"/>
      <c r="P126" s="24">
        <v>50600</v>
      </c>
      <c r="Q126" s="1">
        <v>2000324562</v>
      </c>
      <c r="R126" s="1" t="s">
        <v>1737</v>
      </c>
      <c r="S126" s="1"/>
      <c r="T126" s="30">
        <f t="shared" si="3"/>
        <v>0</v>
      </c>
    </row>
    <row r="127" spans="1:20" x14ac:dyDescent="0.25">
      <c r="A127" s="1" t="s">
        <v>161</v>
      </c>
      <c r="B127" s="22">
        <v>14206052</v>
      </c>
      <c r="C127" s="24">
        <v>76900</v>
      </c>
      <c r="D127" s="24">
        <v>76900</v>
      </c>
      <c r="E127" s="1" t="e">
        <f>VLOOKUP(B127,CXP!$C$2:$C$4,1,0)</f>
        <v>#N/A</v>
      </c>
      <c r="F127" s="1" t="e">
        <f>VLOOKUP(B127,GLOSAS!$C$2:$C$10,1,0)</f>
        <v>#N/A</v>
      </c>
      <c r="G127" s="1">
        <f>VLOOKUP(B127,CANCELADAS!$C$2:$C$506,1,0)</f>
        <v>14206052</v>
      </c>
      <c r="H127" s="1" t="e">
        <f>VLOOKUP(B127,DEVOLUCIONES!$B$2:$B$40,1,0)</f>
        <v>#N/A</v>
      </c>
      <c r="I127" s="24"/>
      <c r="J127" s="24"/>
      <c r="K127" s="24"/>
      <c r="L127" s="24"/>
      <c r="M127" s="24"/>
      <c r="N127" s="24"/>
      <c r="O127" s="24"/>
      <c r="P127" s="24">
        <v>76900</v>
      </c>
      <c r="Q127" s="1">
        <v>2000324562</v>
      </c>
      <c r="R127" s="1" t="s">
        <v>1737</v>
      </c>
      <c r="S127" s="1"/>
      <c r="T127" s="30">
        <f t="shared" si="3"/>
        <v>0</v>
      </c>
    </row>
    <row r="128" spans="1:20" x14ac:dyDescent="0.25">
      <c r="A128" s="1" t="s">
        <v>162</v>
      </c>
      <c r="B128" s="22">
        <v>14206041</v>
      </c>
      <c r="C128" s="24">
        <v>539800</v>
      </c>
      <c r="D128" s="24">
        <v>539800</v>
      </c>
      <c r="E128" s="1">
        <f>VLOOKUP(B128,CXP!$C$2:$C$4,1,0)</f>
        <v>14206041</v>
      </c>
      <c r="F128" s="1" t="e">
        <f>VLOOKUP(B128,GLOSAS!$C$2:$C$10,1,0)</f>
        <v>#N/A</v>
      </c>
      <c r="G128" s="1">
        <f>VLOOKUP(B128,CANCELADAS!$C$2:$C$506,1,0)</f>
        <v>14206041</v>
      </c>
      <c r="H128" s="1" t="e">
        <f>VLOOKUP(B128,DEVOLUCIONES!$B$2:$B$40,1,0)</f>
        <v>#N/A</v>
      </c>
      <c r="I128" s="24">
        <v>452362</v>
      </c>
      <c r="J128" s="24"/>
      <c r="K128" s="24"/>
      <c r="L128" s="24"/>
      <c r="M128" s="24"/>
      <c r="N128" s="24"/>
      <c r="O128" s="24"/>
      <c r="P128" s="24">
        <v>87438</v>
      </c>
      <c r="Q128" s="1">
        <v>2000324562</v>
      </c>
      <c r="R128" s="1" t="s">
        <v>1737</v>
      </c>
      <c r="S128" s="1"/>
      <c r="T128" s="30">
        <f t="shared" si="3"/>
        <v>0</v>
      </c>
    </row>
    <row r="129" spans="1:20" x14ac:dyDescent="0.25">
      <c r="A129" s="1" t="s">
        <v>163</v>
      </c>
      <c r="B129" s="22">
        <v>14212560</v>
      </c>
      <c r="C129" s="24">
        <v>57600</v>
      </c>
      <c r="D129" s="24">
        <v>57600</v>
      </c>
      <c r="E129" s="1" t="e">
        <f>VLOOKUP(B129,CXP!$C$2:$C$4,1,0)</f>
        <v>#N/A</v>
      </c>
      <c r="F129" s="1" t="e">
        <f>VLOOKUP(B129,GLOSAS!$C$2:$C$10,1,0)</f>
        <v>#N/A</v>
      </c>
      <c r="G129" s="1">
        <f>VLOOKUP(B129,CANCELADAS!$C$2:$C$506,1,0)</f>
        <v>14212560</v>
      </c>
      <c r="H129" s="1" t="e">
        <f>VLOOKUP(B129,DEVOLUCIONES!$B$2:$B$40,1,0)</f>
        <v>#N/A</v>
      </c>
      <c r="I129" s="24"/>
      <c r="J129" s="24"/>
      <c r="K129" s="24"/>
      <c r="L129" s="24"/>
      <c r="M129" s="24"/>
      <c r="N129" s="24"/>
      <c r="O129" s="24"/>
      <c r="P129" s="24">
        <v>57600</v>
      </c>
      <c r="Q129" s="1">
        <v>2000324562</v>
      </c>
      <c r="R129" s="1" t="s">
        <v>1737</v>
      </c>
      <c r="S129" s="1"/>
      <c r="T129" s="30">
        <f t="shared" si="3"/>
        <v>0</v>
      </c>
    </row>
    <row r="130" spans="1:20" x14ac:dyDescent="0.25">
      <c r="A130" s="1" t="s">
        <v>164</v>
      </c>
      <c r="B130" s="22">
        <v>14215498</v>
      </c>
      <c r="C130" s="24">
        <v>35100</v>
      </c>
      <c r="D130" s="24">
        <v>35100</v>
      </c>
      <c r="E130" s="1" t="e">
        <f>VLOOKUP(B130,CXP!$C$2:$C$4,1,0)</f>
        <v>#N/A</v>
      </c>
      <c r="F130" s="1" t="e">
        <f>VLOOKUP(B130,GLOSAS!$C$2:$C$10,1,0)</f>
        <v>#N/A</v>
      </c>
      <c r="G130" s="1">
        <f>VLOOKUP(B130,CANCELADAS!$C$2:$C$506,1,0)</f>
        <v>14215498</v>
      </c>
      <c r="H130" s="1" t="e">
        <f>VLOOKUP(B130,DEVOLUCIONES!$B$2:$B$40,1,0)</f>
        <v>#N/A</v>
      </c>
      <c r="I130" s="24"/>
      <c r="J130" s="24"/>
      <c r="K130" s="24"/>
      <c r="L130" s="24"/>
      <c r="M130" s="24"/>
      <c r="N130" s="24"/>
      <c r="O130" s="24"/>
      <c r="P130" s="24">
        <v>35100</v>
      </c>
      <c r="Q130" s="1">
        <v>2000324562</v>
      </c>
      <c r="R130" s="1" t="s">
        <v>1737</v>
      </c>
      <c r="S130" s="1"/>
      <c r="T130" s="30">
        <f t="shared" si="3"/>
        <v>0</v>
      </c>
    </row>
    <row r="131" spans="1:20" x14ac:dyDescent="0.25">
      <c r="A131" s="1" t="s">
        <v>165</v>
      </c>
      <c r="B131" s="22">
        <v>14214599</v>
      </c>
      <c r="C131" s="24">
        <v>119900</v>
      </c>
      <c r="D131" s="24">
        <v>119900</v>
      </c>
      <c r="E131" s="1" t="e">
        <f>VLOOKUP(B131,CXP!$C$2:$C$4,1,0)</f>
        <v>#N/A</v>
      </c>
      <c r="F131" s="1" t="e">
        <f>VLOOKUP(B131,GLOSAS!$C$2:$C$10,1,0)</f>
        <v>#N/A</v>
      </c>
      <c r="G131" s="1">
        <f>VLOOKUP(B131,CANCELADAS!$C$2:$C$506,1,0)</f>
        <v>14214599</v>
      </c>
      <c r="H131" s="1" t="e">
        <f>VLOOKUP(B131,DEVOLUCIONES!$B$2:$B$40,1,0)</f>
        <v>#N/A</v>
      </c>
      <c r="I131" s="24"/>
      <c r="J131" s="24"/>
      <c r="K131" s="24"/>
      <c r="L131" s="24"/>
      <c r="M131" s="24"/>
      <c r="N131" s="24"/>
      <c r="O131" s="24"/>
      <c r="P131" s="24">
        <v>119900</v>
      </c>
      <c r="Q131" s="1">
        <v>2000324562</v>
      </c>
      <c r="R131" s="1" t="s">
        <v>1737</v>
      </c>
      <c r="S131" s="1"/>
      <c r="T131" s="30">
        <f t="shared" ref="T131:T140" si="4">D131-SUM(I131:P131)</f>
        <v>0</v>
      </c>
    </row>
    <row r="132" spans="1:20" x14ac:dyDescent="0.25">
      <c r="A132" s="1" t="s">
        <v>166</v>
      </c>
      <c r="B132" s="22">
        <v>14216696</v>
      </c>
      <c r="C132" s="24">
        <v>57600</v>
      </c>
      <c r="D132" s="24">
        <v>57600</v>
      </c>
      <c r="E132" s="1" t="e">
        <f>VLOOKUP(B132,CXP!$C$2:$C$4,1,0)</f>
        <v>#N/A</v>
      </c>
      <c r="F132" s="1" t="e">
        <f>VLOOKUP(B132,GLOSAS!$C$2:$C$10,1,0)</f>
        <v>#N/A</v>
      </c>
      <c r="G132" s="1">
        <f>VLOOKUP(B132,CANCELADAS!$C$2:$C$506,1,0)</f>
        <v>14216696</v>
      </c>
      <c r="H132" s="1" t="e">
        <f>VLOOKUP(B132,DEVOLUCIONES!$B$2:$B$40,1,0)</f>
        <v>#N/A</v>
      </c>
      <c r="I132" s="24"/>
      <c r="J132" s="24"/>
      <c r="K132" s="24"/>
      <c r="L132" s="24"/>
      <c r="M132" s="24"/>
      <c r="N132" s="24"/>
      <c r="O132" s="24"/>
      <c r="P132" s="24">
        <v>57600</v>
      </c>
      <c r="Q132" s="1">
        <v>2000324562</v>
      </c>
      <c r="R132" s="1" t="s">
        <v>1737</v>
      </c>
      <c r="S132" s="1"/>
      <c r="T132" s="30">
        <f t="shared" si="4"/>
        <v>0</v>
      </c>
    </row>
    <row r="133" spans="1:20" x14ac:dyDescent="0.25">
      <c r="A133" s="1" t="s">
        <v>167</v>
      </c>
      <c r="B133" s="22">
        <v>14216109</v>
      </c>
      <c r="C133" s="24">
        <v>85319</v>
      </c>
      <c r="D133" s="24">
        <v>85319</v>
      </c>
      <c r="E133" s="1" t="e">
        <f>VLOOKUP(B133,CXP!$C$2:$C$4,1,0)</f>
        <v>#N/A</v>
      </c>
      <c r="F133" s="1" t="e">
        <f>VLOOKUP(B133,GLOSAS!$C$2:$C$10,1,0)</f>
        <v>#N/A</v>
      </c>
      <c r="G133" s="1">
        <f>VLOOKUP(B133,CANCELADAS!$C$2:$C$506,1,0)</f>
        <v>14216109</v>
      </c>
      <c r="H133" s="1" t="e">
        <f>VLOOKUP(B133,DEVOLUCIONES!$B$2:$B$40,1,0)</f>
        <v>#N/A</v>
      </c>
      <c r="I133" s="24"/>
      <c r="J133" s="24"/>
      <c r="K133" s="24"/>
      <c r="L133" s="24"/>
      <c r="M133" s="24"/>
      <c r="N133" s="24"/>
      <c r="O133" s="24"/>
      <c r="P133" s="24">
        <v>85319</v>
      </c>
      <c r="Q133" s="1">
        <v>2000324562</v>
      </c>
      <c r="R133" s="1" t="s">
        <v>1737</v>
      </c>
      <c r="S133" s="1"/>
      <c r="T133" s="30">
        <f t="shared" si="4"/>
        <v>0</v>
      </c>
    </row>
    <row r="134" spans="1:20" x14ac:dyDescent="0.25">
      <c r="A134" s="1" t="s">
        <v>168</v>
      </c>
      <c r="B134" s="22">
        <v>14217389</v>
      </c>
      <c r="C134" s="24">
        <v>54400</v>
      </c>
      <c r="D134" s="24">
        <v>54400</v>
      </c>
      <c r="E134" s="1" t="e">
        <f>VLOOKUP(B134,CXP!$C$2:$C$4,1,0)</f>
        <v>#N/A</v>
      </c>
      <c r="F134" s="1" t="e">
        <f>VLOOKUP(B134,GLOSAS!$C$2:$C$10,1,0)</f>
        <v>#N/A</v>
      </c>
      <c r="G134" s="1">
        <f>VLOOKUP(B134,CANCELADAS!$C$2:$C$506,1,0)</f>
        <v>14217389</v>
      </c>
      <c r="H134" s="1" t="e">
        <f>VLOOKUP(B134,DEVOLUCIONES!$B$2:$B$40,1,0)</f>
        <v>#N/A</v>
      </c>
      <c r="I134" s="24"/>
      <c r="J134" s="24"/>
      <c r="K134" s="24"/>
      <c r="L134" s="24"/>
      <c r="M134" s="24"/>
      <c r="N134" s="24"/>
      <c r="O134" s="24"/>
      <c r="P134" s="24">
        <v>54400</v>
      </c>
      <c r="Q134" s="1">
        <v>2000324562</v>
      </c>
      <c r="R134" s="1" t="s">
        <v>1737</v>
      </c>
      <c r="S134" s="1"/>
      <c r="T134" s="30">
        <f t="shared" si="4"/>
        <v>0</v>
      </c>
    </row>
    <row r="135" spans="1:20" x14ac:dyDescent="0.25">
      <c r="A135" s="1" t="s">
        <v>169</v>
      </c>
      <c r="B135" s="22">
        <v>14218231</v>
      </c>
      <c r="C135" s="24">
        <v>401798</v>
      </c>
      <c r="D135" s="24">
        <v>355598</v>
      </c>
      <c r="E135" s="1" t="e">
        <f>VLOOKUP(B135,CXP!$C$2:$C$4,1,0)</f>
        <v>#N/A</v>
      </c>
      <c r="F135" s="1" t="e">
        <f>VLOOKUP(B135,GLOSAS!$C$2:$C$10,1,0)</f>
        <v>#N/A</v>
      </c>
      <c r="G135" s="1">
        <f>VLOOKUP(B135,CANCELADAS!$C$2:$C$506,1,0)</f>
        <v>14218231</v>
      </c>
      <c r="H135" s="1" t="e">
        <f>VLOOKUP(B135,DEVOLUCIONES!$B$2:$B$40,1,0)</f>
        <v>#N/A</v>
      </c>
      <c r="I135" s="24"/>
      <c r="J135" s="24"/>
      <c r="K135" s="24"/>
      <c r="L135" s="24"/>
      <c r="M135" s="24"/>
      <c r="N135" s="24"/>
      <c r="O135" s="24"/>
      <c r="P135" s="24">
        <v>355598</v>
      </c>
      <c r="Q135" s="1">
        <v>2000324562</v>
      </c>
      <c r="R135" s="1" t="s">
        <v>1737</v>
      </c>
      <c r="S135" s="1"/>
      <c r="T135" s="30">
        <f t="shared" si="4"/>
        <v>0</v>
      </c>
    </row>
    <row r="136" spans="1:20" x14ac:dyDescent="0.25">
      <c r="A136" s="1" t="s">
        <v>170</v>
      </c>
      <c r="B136" s="22">
        <v>14217390</v>
      </c>
      <c r="C136" s="24">
        <v>940454</v>
      </c>
      <c r="D136" s="24">
        <v>940454</v>
      </c>
      <c r="E136" s="1" t="e">
        <f>VLOOKUP(B136,CXP!$C$2:$C$4,1,0)</f>
        <v>#N/A</v>
      </c>
      <c r="F136" s="1" t="e">
        <f>VLOOKUP(B136,GLOSAS!$C$2:$C$10,1,0)</f>
        <v>#N/A</v>
      </c>
      <c r="G136" s="1" t="e">
        <f>VLOOKUP(B136,CANCELADAS!$C$2:$C$506,1,0)</f>
        <v>#N/A</v>
      </c>
      <c r="H136" s="1" t="e">
        <f>VLOOKUP(B136,DEVOLUCIONES!$B$2:$B$40,1,0)</f>
        <v>#N/A</v>
      </c>
      <c r="I136" s="24"/>
      <c r="J136" s="24"/>
      <c r="K136" s="24"/>
      <c r="L136" s="24">
        <f>+D136</f>
        <v>940454</v>
      </c>
      <c r="M136" s="24"/>
      <c r="N136" s="24"/>
      <c r="O136" s="24"/>
      <c r="P136" s="24"/>
      <c r="Q136" s="1"/>
      <c r="R136" s="1" t="s">
        <v>1865</v>
      </c>
      <c r="S136" s="1"/>
      <c r="T136" s="30">
        <f t="shared" si="4"/>
        <v>0</v>
      </c>
    </row>
    <row r="137" spans="1:20" x14ac:dyDescent="0.25">
      <c r="A137" s="1" t="s">
        <v>171</v>
      </c>
      <c r="B137" s="22">
        <v>14219234</v>
      </c>
      <c r="C137" s="24">
        <v>59311</v>
      </c>
      <c r="D137" s="24">
        <v>59311</v>
      </c>
      <c r="E137" s="1" t="e">
        <f>VLOOKUP(B137,CXP!$C$2:$C$4,1,0)</f>
        <v>#N/A</v>
      </c>
      <c r="F137" s="1" t="e">
        <f>VLOOKUP(B137,GLOSAS!$C$2:$C$10,1,0)</f>
        <v>#N/A</v>
      </c>
      <c r="G137" s="1">
        <f>VLOOKUP(B137,CANCELADAS!$C$2:$C$506,1,0)</f>
        <v>14219234</v>
      </c>
      <c r="H137" s="1" t="e">
        <f>VLOOKUP(B137,DEVOLUCIONES!$B$2:$B$40,1,0)</f>
        <v>#N/A</v>
      </c>
      <c r="I137" s="24"/>
      <c r="J137" s="24"/>
      <c r="K137" s="24"/>
      <c r="L137" s="24"/>
      <c r="M137" s="24"/>
      <c r="N137" s="24"/>
      <c r="O137" s="24"/>
      <c r="P137" s="24">
        <v>59311</v>
      </c>
      <c r="Q137" s="1">
        <v>2000324562</v>
      </c>
      <c r="R137" s="1" t="s">
        <v>1737</v>
      </c>
      <c r="S137" s="1"/>
      <c r="T137" s="30">
        <f t="shared" si="4"/>
        <v>0</v>
      </c>
    </row>
    <row r="138" spans="1:20" x14ac:dyDescent="0.25">
      <c r="A138" s="1" t="s">
        <v>172</v>
      </c>
      <c r="B138" s="22">
        <v>14218806</v>
      </c>
      <c r="C138" s="24">
        <v>176664</v>
      </c>
      <c r="D138" s="24">
        <v>176664</v>
      </c>
      <c r="E138" s="1" t="e">
        <f>VLOOKUP(B138,CXP!$C$2:$C$4,1,0)</f>
        <v>#N/A</v>
      </c>
      <c r="F138" s="1" t="e">
        <f>VLOOKUP(B138,GLOSAS!$C$2:$C$10,1,0)</f>
        <v>#N/A</v>
      </c>
      <c r="G138" s="1">
        <f>VLOOKUP(B138,CANCELADAS!$C$2:$C$506,1,0)</f>
        <v>14218806</v>
      </c>
      <c r="H138" s="1" t="e">
        <f>VLOOKUP(B138,DEVOLUCIONES!$B$2:$B$40,1,0)</f>
        <v>#N/A</v>
      </c>
      <c r="I138" s="24"/>
      <c r="J138" s="24"/>
      <c r="K138" s="24"/>
      <c r="L138" s="24"/>
      <c r="M138" s="24"/>
      <c r="N138" s="24"/>
      <c r="O138" s="24"/>
      <c r="P138" s="24">
        <v>176664</v>
      </c>
      <c r="Q138" s="1">
        <v>2000324562</v>
      </c>
      <c r="R138" s="1" t="s">
        <v>1737</v>
      </c>
      <c r="S138" s="1"/>
      <c r="T138" s="30">
        <f t="shared" si="4"/>
        <v>0</v>
      </c>
    </row>
    <row r="139" spans="1:20" x14ac:dyDescent="0.25">
      <c r="A139" s="1" t="s">
        <v>173</v>
      </c>
      <c r="B139" s="22">
        <v>14220586</v>
      </c>
      <c r="C139" s="24">
        <v>360176</v>
      </c>
      <c r="D139" s="24">
        <v>360176</v>
      </c>
      <c r="E139" s="1" t="e">
        <f>VLOOKUP(B139,CXP!$C$2:$C$4,1,0)</f>
        <v>#N/A</v>
      </c>
      <c r="F139" s="1" t="e">
        <f>VLOOKUP(B139,GLOSAS!$C$2:$C$10,1,0)</f>
        <v>#N/A</v>
      </c>
      <c r="G139" s="1">
        <f>VLOOKUP(B139,CANCELADAS!$C$2:$C$506,1,0)</f>
        <v>14220586</v>
      </c>
      <c r="H139" s="1" t="e">
        <f>VLOOKUP(B139,DEVOLUCIONES!$B$2:$B$40,1,0)</f>
        <v>#N/A</v>
      </c>
      <c r="I139" s="24"/>
      <c r="J139" s="24"/>
      <c r="K139" s="24"/>
      <c r="L139" s="24"/>
      <c r="M139" s="24"/>
      <c r="N139" s="24"/>
      <c r="O139" s="24"/>
      <c r="P139" s="24">
        <v>360176</v>
      </c>
      <c r="Q139" s="1">
        <v>2000324562</v>
      </c>
      <c r="R139" s="1" t="s">
        <v>1737</v>
      </c>
      <c r="S139" s="1"/>
      <c r="T139" s="30">
        <f t="shared" si="4"/>
        <v>0</v>
      </c>
    </row>
    <row r="140" spans="1:20" x14ac:dyDescent="0.25">
      <c r="A140" s="1" t="s">
        <v>174</v>
      </c>
      <c r="B140" s="22">
        <v>14220627</v>
      </c>
      <c r="C140" s="24">
        <v>917704</v>
      </c>
      <c r="D140" s="24">
        <v>917704</v>
      </c>
      <c r="E140" s="1">
        <f>VLOOKUP(B140,CXP!$C$2:$C$4,1,0)</f>
        <v>14220627</v>
      </c>
      <c r="F140" s="1" t="e">
        <f>VLOOKUP(B140,GLOSAS!$C$2:$C$10,1,0)</f>
        <v>#N/A</v>
      </c>
      <c r="G140" s="1" t="e">
        <f>VLOOKUP(B140,CANCELADAS!$C$2:$C$506,1,0)</f>
        <v>#N/A</v>
      </c>
      <c r="H140" s="1" t="e">
        <f>VLOOKUP(B140,DEVOLUCIONES!$B$2:$B$40,1,0)</f>
        <v>#N/A</v>
      </c>
      <c r="I140" s="24">
        <v>917704</v>
      </c>
      <c r="J140" s="24"/>
      <c r="K140" s="24"/>
      <c r="L140" s="24"/>
      <c r="M140" s="24"/>
      <c r="N140" s="24"/>
      <c r="O140" s="24"/>
      <c r="P140" s="24"/>
      <c r="Q140" s="1"/>
      <c r="R140" s="1"/>
      <c r="S140" s="1"/>
      <c r="T140" s="30">
        <f t="shared" si="4"/>
        <v>0</v>
      </c>
    </row>
    <row r="141" spans="1:20" x14ac:dyDescent="0.25">
      <c r="C141" s="24">
        <f t="shared" ref="C141:D141" si="5">SUM(C2:C140)</f>
        <v>50958548</v>
      </c>
      <c r="D141" s="24">
        <f t="shared" si="5"/>
        <v>46502354</v>
      </c>
      <c r="F141" s="20"/>
      <c r="I141" s="24">
        <f t="shared" ref="I141:P141" si="6">SUM(I2:I140)</f>
        <v>2759809</v>
      </c>
      <c r="J141" s="24">
        <f t="shared" si="6"/>
        <v>10197076</v>
      </c>
      <c r="K141" s="24">
        <f t="shared" si="6"/>
        <v>0</v>
      </c>
      <c r="L141" s="24">
        <f t="shared" si="6"/>
        <v>13809596</v>
      </c>
      <c r="M141" s="24">
        <f t="shared" si="6"/>
        <v>297012</v>
      </c>
      <c r="N141" s="24">
        <f t="shared" si="6"/>
        <v>237600</v>
      </c>
      <c r="O141" s="24">
        <f t="shared" si="6"/>
        <v>0</v>
      </c>
      <c r="P141" s="24">
        <f t="shared" si="6"/>
        <v>19383031</v>
      </c>
      <c r="T141" s="24">
        <f t="shared" ref="T141" si="7">SUM(T2:T140)</f>
        <v>-181770</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AEA0CD-8AD6-44F1-BD04-EA35ADEBB902}">
  <dimension ref="C3:D16"/>
  <sheetViews>
    <sheetView workbookViewId="0">
      <selection activeCell="D16" sqref="D16"/>
    </sheetView>
  </sheetViews>
  <sheetFormatPr baseColWidth="10" defaultRowHeight="15" x14ac:dyDescent="0.25"/>
  <cols>
    <col min="3" max="3" width="56.42578125" customWidth="1"/>
    <col min="4" max="4" width="16.7109375" customWidth="1"/>
  </cols>
  <sheetData>
    <row r="3" spans="3:4" ht="15.75" x14ac:dyDescent="0.25">
      <c r="C3" s="35" t="s">
        <v>5</v>
      </c>
      <c r="D3" s="36"/>
    </row>
    <row r="4" spans="3:4" ht="15.75" x14ac:dyDescent="0.25">
      <c r="C4" s="6" t="s">
        <v>6</v>
      </c>
      <c r="D4" s="7">
        <f>+CRUCE!D141</f>
        <v>46502354</v>
      </c>
    </row>
    <row r="5" spans="3:4" x14ac:dyDescent="0.25">
      <c r="C5" s="8"/>
      <c r="D5" s="8"/>
    </row>
    <row r="6" spans="3:4" x14ac:dyDescent="0.25">
      <c r="C6" s="9" t="s">
        <v>7</v>
      </c>
      <c r="D6" s="7">
        <f>+CRUCE!I141</f>
        <v>2759809</v>
      </c>
    </row>
    <row r="7" spans="3:4" x14ac:dyDescent="0.25">
      <c r="C7" s="9" t="s">
        <v>8</v>
      </c>
      <c r="D7" s="7">
        <f>+CRUCE!J141</f>
        <v>10197076</v>
      </c>
    </row>
    <row r="8" spans="3:4" x14ac:dyDescent="0.25">
      <c r="C8" s="9" t="s">
        <v>9</v>
      </c>
      <c r="D8" s="7">
        <f>+CRUCE!K141</f>
        <v>0</v>
      </c>
    </row>
    <row r="9" spans="3:4" x14ac:dyDescent="0.25">
      <c r="C9" s="9" t="s">
        <v>10</v>
      </c>
      <c r="D9" s="7">
        <f>+CRUCE!L141</f>
        <v>13809596</v>
      </c>
    </row>
    <row r="10" spans="3:4" x14ac:dyDescent="0.25">
      <c r="C10" s="9" t="s">
        <v>11</v>
      </c>
      <c r="D10" s="7">
        <f>+CRUCE!M141</f>
        <v>297012</v>
      </c>
    </row>
    <row r="11" spans="3:4" x14ac:dyDescent="0.25">
      <c r="C11" s="9" t="s">
        <v>12</v>
      </c>
      <c r="D11" s="7">
        <f>+CRUCE!N141</f>
        <v>237600</v>
      </c>
    </row>
    <row r="12" spans="3:4" x14ac:dyDescent="0.25">
      <c r="C12" s="9" t="s">
        <v>13</v>
      </c>
      <c r="D12" s="7">
        <f>+CRUCE!O141</f>
        <v>0</v>
      </c>
    </row>
    <row r="13" spans="3:4" x14ac:dyDescent="0.25">
      <c r="C13" s="9" t="s">
        <v>14</v>
      </c>
      <c r="D13" s="7">
        <f>+CRUCE!P141</f>
        <v>19383031</v>
      </c>
    </row>
    <row r="14" spans="3:4" x14ac:dyDescent="0.25">
      <c r="C14" s="9" t="s">
        <v>15</v>
      </c>
      <c r="D14" s="7">
        <v>0</v>
      </c>
    </row>
    <row r="15" spans="3:4" x14ac:dyDescent="0.25">
      <c r="C15" s="9" t="s">
        <v>16</v>
      </c>
      <c r="D15" s="7">
        <f>+CRUCE!T141</f>
        <v>-181770</v>
      </c>
    </row>
    <row r="16" spans="3:4" x14ac:dyDescent="0.25">
      <c r="C16" s="10"/>
      <c r="D16" s="7">
        <f>SUM(D6:D15)</f>
        <v>46502354</v>
      </c>
    </row>
  </sheetData>
  <mergeCells count="1">
    <mergeCell ref="C3:D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FDD732-E079-48A8-98CA-3A4DFD2EC90A}">
  <dimension ref="A1:U4"/>
  <sheetViews>
    <sheetView workbookViewId="0">
      <selection activeCell="C2" sqref="C2"/>
    </sheetView>
  </sheetViews>
  <sheetFormatPr baseColWidth="10" defaultRowHeight="12.75" x14ac:dyDescent="0.2"/>
  <cols>
    <col min="1" max="16384" width="11.42578125" style="25"/>
  </cols>
  <sheetData>
    <row r="1" spans="1:21" x14ac:dyDescent="0.2">
      <c r="A1" s="29" t="s">
        <v>216</v>
      </c>
      <c r="B1" s="29" t="s">
        <v>215</v>
      </c>
      <c r="C1" s="29" t="s">
        <v>215</v>
      </c>
      <c r="D1" s="29" t="s">
        <v>214</v>
      </c>
      <c r="E1" s="29" t="s">
        <v>213</v>
      </c>
      <c r="F1" s="29" t="s">
        <v>212</v>
      </c>
      <c r="G1" s="29" t="s">
        <v>211</v>
      </c>
      <c r="H1" s="29" t="s">
        <v>210</v>
      </c>
      <c r="I1" s="29" t="s">
        <v>209</v>
      </c>
      <c r="J1" s="29" t="s">
        <v>208</v>
      </c>
      <c r="K1" s="29" t="s">
        <v>207</v>
      </c>
      <c r="L1" s="29" t="s">
        <v>206</v>
      </c>
      <c r="M1" s="29" t="s">
        <v>205</v>
      </c>
      <c r="N1" s="29" t="s">
        <v>204</v>
      </c>
      <c r="O1" s="29" t="s">
        <v>203</v>
      </c>
      <c r="P1" s="29" t="s">
        <v>202</v>
      </c>
      <c r="Q1" s="29" t="s">
        <v>201</v>
      </c>
      <c r="R1" s="29" t="s">
        <v>200</v>
      </c>
      <c r="S1" s="29" t="s">
        <v>199</v>
      </c>
      <c r="T1" s="29" t="s">
        <v>198</v>
      </c>
      <c r="U1" s="29" t="s">
        <v>197</v>
      </c>
    </row>
    <row r="2" spans="1:21" x14ac:dyDescent="0.2">
      <c r="A2" s="28"/>
      <c r="B2" s="25" t="s">
        <v>196</v>
      </c>
      <c r="C2" s="25">
        <v>14192620</v>
      </c>
      <c r="D2" s="25" t="s">
        <v>192</v>
      </c>
      <c r="E2" s="25" t="s">
        <v>185</v>
      </c>
      <c r="F2" s="25" t="s">
        <v>195</v>
      </c>
      <c r="G2" s="25" t="s">
        <v>183</v>
      </c>
      <c r="I2" s="27">
        <v>43833</v>
      </c>
      <c r="K2" s="27">
        <v>43955</v>
      </c>
      <c r="L2" s="26">
        <v>547943</v>
      </c>
      <c r="N2" s="25" t="s">
        <v>194</v>
      </c>
      <c r="O2" s="25" t="s">
        <v>180</v>
      </c>
      <c r="P2" s="26">
        <v>61</v>
      </c>
      <c r="Q2" s="25" t="s">
        <v>189</v>
      </c>
      <c r="R2" s="25" t="s">
        <v>188</v>
      </c>
      <c r="U2" s="25" t="s">
        <v>175</v>
      </c>
    </row>
    <row r="3" spans="1:21" x14ac:dyDescent="0.2">
      <c r="A3" s="28"/>
      <c r="B3" s="25" t="s">
        <v>193</v>
      </c>
      <c r="C3" s="25">
        <v>14220627</v>
      </c>
      <c r="D3" s="25" t="s">
        <v>192</v>
      </c>
      <c r="E3" s="25" t="s">
        <v>185</v>
      </c>
      <c r="F3" s="25" t="s">
        <v>191</v>
      </c>
      <c r="G3" s="25" t="s">
        <v>183</v>
      </c>
      <c r="I3" s="27">
        <v>43862</v>
      </c>
      <c r="K3" s="27">
        <v>43955</v>
      </c>
      <c r="L3" s="26">
        <v>917704</v>
      </c>
      <c r="N3" s="25" t="s">
        <v>190</v>
      </c>
      <c r="O3" s="25" t="s">
        <v>180</v>
      </c>
      <c r="P3" s="26">
        <v>61</v>
      </c>
      <c r="Q3" s="25" t="s">
        <v>189</v>
      </c>
      <c r="R3" s="25" t="s">
        <v>188</v>
      </c>
      <c r="U3" s="25" t="s">
        <v>175</v>
      </c>
    </row>
    <row r="4" spans="1:21" x14ac:dyDescent="0.2">
      <c r="A4" s="28"/>
      <c r="B4" s="25" t="s">
        <v>187</v>
      </c>
      <c r="C4" s="25">
        <v>14206041</v>
      </c>
      <c r="D4" s="25" t="s">
        <v>186</v>
      </c>
      <c r="E4" s="25" t="s">
        <v>185</v>
      </c>
      <c r="F4" s="25" t="s">
        <v>184</v>
      </c>
      <c r="G4" s="25" t="s">
        <v>183</v>
      </c>
      <c r="H4" s="25" t="s">
        <v>182</v>
      </c>
      <c r="I4" s="27">
        <v>43850</v>
      </c>
      <c r="K4" s="27">
        <v>43964</v>
      </c>
      <c r="L4" s="26">
        <v>452362</v>
      </c>
      <c r="N4" s="25" t="s">
        <v>181</v>
      </c>
      <c r="O4" s="25" t="s">
        <v>180</v>
      </c>
      <c r="P4" s="26">
        <v>61</v>
      </c>
      <c r="Q4" s="25" t="s">
        <v>179</v>
      </c>
      <c r="R4" s="25" t="s">
        <v>178</v>
      </c>
      <c r="S4" s="25" t="s">
        <v>177</v>
      </c>
      <c r="T4" s="25" t="s">
        <v>176</v>
      </c>
      <c r="U4" s="25" t="s">
        <v>175</v>
      </c>
    </row>
  </sheetData>
  <autoFilter ref="A1:U4" xr:uid="{B60BCA83-4B93-40B6-814D-221F5DA4EB62}"/>
  <pageMargins left="0.75" right="0.75" top="1" bottom="1" header="0.5" footer="0.5"/>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3C8717-2B49-4CBF-B2E0-2DF7D48A4D6F}">
  <dimension ref="A1:U10"/>
  <sheetViews>
    <sheetView workbookViewId="0">
      <selection activeCell="L2" sqref="L2:L10"/>
    </sheetView>
  </sheetViews>
  <sheetFormatPr baseColWidth="10" defaultRowHeight="12.75" x14ac:dyDescent="0.2"/>
  <cols>
    <col min="1" max="16384" width="11.42578125" style="25"/>
  </cols>
  <sheetData>
    <row r="1" spans="1:21" x14ac:dyDescent="0.2">
      <c r="A1" s="29" t="s">
        <v>216</v>
      </c>
      <c r="B1" s="29" t="s">
        <v>215</v>
      </c>
      <c r="C1" s="29" t="s">
        <v>215</v>
      </c>
      <c r="D1" s="29" t="s">
        <v>214</v>
      </c>
      <c r="E1" s="29" t="s">
        <v>213</v>
      </c>
      <c r="F1" s="29" t="s">
        <v>212</v>
      </c>
      <c r="G1" s="29" t="s">
        <v>211</v>
      </c>
      <c r="H1" s="29" t="s">
        <v>210</v>
      </c>
      <c r="I1" s="29" t="s">
        <v>209</v>
      </c>
      <c r="J1" s="29" t="s">
        <v>208</v>
      </c>
      <c r="K1" s="29" t="s">
        <v>207</v>
      </c>
      <c r="L1" s="29" t="s">
        <v>206</v>
      </c>
      <c r="M1" s="29" t="s">
        <v>205</v>
      </c>
      <c r="N1" s="29" t="s">
        <v>204</v>
      </c>
      <c r="O1" s="29" t="s">
        <v>203</v>
      </c>
      <c r="P1" s="29" t="s">
        <v>202</v>
      </c>
      <c r="Q1" s="29" t="s">
        <v>201</v>
      </c>
      <c r="R1" s="29" t="s">
        <v>200</v>
      </c>
      <c r="S1" s="29" t="s">
        <v>199</v>
      </c>
      <c r="T1" s="29" t="s">
        <v>198</v>
      </c>
      <c r="U1" s="29" t="s">
        <v>197</v>
      </c>
    </row>
    <row r="2" spans="1:21" x14ac:dyDescent="0.2">
      <c r="A2" s="28"/>
      <c r="B2" s="25" t="s">
        <v>268</v>
      </c>
      <c r="C2" s="25">
        <v>14051741</v>
      </c>
      <c r="D2" s="25" t="s">
        <v>267</v>
      </c>
      <c r="E2" s="25" t="s">
        <v>221</v>
      </c>
      <c r="F2" s="25" t="s">
        <v>266</v>
      </c>
      <c r="G2" s="25" t="s">
        <v>183</v>
      </c>
      <c r="H2" s="25" t="s">
        <v>265</v>
      </c>
      <c r="I2" s="27">
        <v>43700</v>
      </c>
      <c r="K2" s="27">
        <v>43831</v>
      </c>
      <c r="L2" s="26">
        <v>107800</v>
      </c>
      <c r="N2" s="25" t="s">
        <v>264</v>
      </c>
      <c r="O2" s="25" t="s">
        <v>180</v>
      </c>
      <c r="P2" s="26">
        <v>153</v>
      </c>
      <c r="Q2" s="25" t="s">
        <v>263</v>
      </c>
      <c r="R2" s="25" t="s">
        <v>262</v>
      </c>
      <c r="S2" s="25" t="s">
        <v>177</v>
      </c>
      <c r="T2" s="25" t="s">
        <v>176</v>
      </c>
      <c r="U2" s="25" t="s">
        <v>175</v>
      </c>
    </row>
    <row r="3" spans="1:21" x14ac:dyDescent="0.2">
      <c r="A3" s="28"/>
      <c r="B3" s="25" t="s">
        <v>261</v>
      </c>
      <c r="C3" s="25">
        <v>14061732</v>
      </c>
      <c r="D3" s="25" t="s">
        <v>260</v>
      </c>
      <c r="E3" s="25" t="s">
        <v>221</v>
      </c>
      <c r="F3" s="25" t="s">
        <v>259</v>
      </c>
      <c r="G3" s="25" t="s">
        <v>183</v>
      </c>
      <c r="H3" s="25" t="s">
        <v>258</v>
      </c>
      <c r="I3" s="27">
        <v>43708</v>
      </c>
      <c r="K3" s="27">
        <v>43979</v>
      </c>
      <c r="L3" s="26">
        <v>79200</v>
      </c>
      <c r="N3" s="25" t="s">
        <v>257</v>
      </c>
      <c r="O3" s="25" t="s">
        <v>180</v>
      </c>
      <c r="P3" s="26">
        <v>110</v>
      </c>
      <c r="Q3" s="25" t="s">
        <v>179</v>
      </c>
      <c r="R3" s="25" t="s">
        <v>256</v>
      </c>
      <c r="S3" s="25" t="s">
        <v>177</v>
      </c>
      <c r="T3" s="25" t="s">
        <v>176</v>
      </c>
      <c r="U3" s="25" t="s">
        <v>175</v>
      </c>
    </row>
    <row r="4" spans="1:21" x14ac:dyDescent="0.2">
      <c r="A4" s="28"/>
      <c r="B4" s="25" t="s">
        <v>255</v>
      </c>
      <c r="C4" s="25">
        <v>14189199</v>
      </c>
      <c r="D4" s="25" t="s">
        <v>254</v>
      </c>
      <c r="E4" s="25" t="s">
        <v>221</v>
      </c>
      <c r="F4" s="25" t="s">
        <v>253</v>
      </c>
      <c r="G4" s="25" t="s">
        <v>183</v>
      </c>
      <c r="H4" s="25" t="s">
        <v>252</v>
      </c>
      <c r="I4" s="27">
        <v>43857</v>
      </c>
      <c r="K4" s="27">
        <v>43962</v>
      </c>
      <c r="L4" s="26">
        <v>110012</v>
      </c>
      <c r="N4" s="25" t="s">
        <v>251</v>
      </c>
      <c r="O4" s="25" t="s">
        <v>180</v>
      </c>
      <c r="P4" s="26">
        <v>18385</v>
      </c>
      <c r="Q4" s="25" t="s">
        <v>179</v>
      </c>
      <c r="R4" s="25" t="s">
        <v>250</v>
      </c>
      <c r="S4" s="25" t="s">
        <v>177</v>
      </c>
      <c r="T4" s="25" t="s">
        <v>176</v>
      </c>
      <c r="U4" s="25" t="s">
        <v>175</v>
      </c>
    </row>
    <row r="5" spans="1:21" x14ac:dyDescent="0.2">
      <c r="A5" s="28"/>
      <c r="B5" s="25" t="s">
        <v>249</v>
      </c>
      <c r="C5" s="25">
        <v>13842922</v>
      </c>
      <c r="D5" s="25" t="s">
        <v>248</v>
      </c>
      <c r="E5" s="25" t="s">
        <v>221</v>
      </c>
      <c r="F5" s="25" t="s">
        <v>247</v>
      </c>
      <c r="G5" s="25" t="s">
        <v>183</v>
      </c>
      <c r="H5" s="25" t="s">
        <v>246</v>
      </c>
      <c r="I5" s="27">
        <v>43510</v>
      </c>
      <c r="K5" s="27">
        <v>43562</v>
      </c>
      <c r="L5" s="26">
        <v>54400</v>
      </c>
      <c r="N5" s="25" t="s">
        <v>245</v>
      </c>
      <c r="O5" s="25" t="s">
        <v>180</v>
      </c>
      <c r="P5" s="26">
        <v>407</v>
      </c>
      <c r="Q5" s="25" t="s">
        <v>189</v>
      </c>
      <c r="R5" s="25" t="s">
        <v>244</v>
      </c>
      <c r="S5" s="25" t="s">
        <v>177</v>
      </c>
      <c r="T5" s="25" t="s">
        <v>176</v>
      </c>
      <c r="U5" s="25" t="s">
        <v>175</v>
      </c>
    </row>
    <row r="6" spans="1:21" x14ac:dyDescent="0.2">
      <c r="A6" s="28"/>
      <c r="B6" s="25" t="s">
        <v>243</v>
      </c>
      <c r="C6" s="25">
        <v>13868871</v>
      </c>
      <c r="D6" s="25" t="s">
        <v>242</v>
      </c>
      <c r="E6" s="25" t="s">
        <v>221</v>
      </c>
      <c r="F6" s="25" t="s">
        <v>241</v>
      </c>
      <c r="G6" s="25" t="s">
        <v>183</v>
      </c>
      <c r="H6" s="25" t="s">
        <v>240</v>
      </c>
      <c r="I6" s="27">
        <v>43536</v>
      </c>
      <c r="K6" s="27">
        <v>43614</v>
      </c>
      <c r="L6" s="26">
        <v>242099</v>
      </c>
      <c r="N6" s="25" t="s">
        <v>239</v>
      </c>
      <c r="O6" s="25" t="s">
        <v>180</v>
      </c>
      <c r="P6" s="26">
        <v>376</v>
      </c>
      <c r="Q6" s="25" t="s">
        <v>179</v>
      </c>
      <c r="R6" s="25" t="s">
        <v>238</v>
      </c>
      <c r="S6" s="25" t="s">
        <v>177</v>
      </c>
      <c r="T6" s="25" t="s">
        <v>176</v>
      </c>
      <c r="U6" s="25" t="s">
        <v>175</v>
      </c>
    </row>
    <row r="7" spans="1:21" x14ac:dyDescent="0.2">
      <c r="A7" s="28"/>
      <c r="B7" s="25" t="s">
        <v>237</v>
      </c>
      <c r="C7" s="25">
        <v>13870182</v>
      </c>
      <c r="D7" s="25" t="s">
        <v>232</v>
      </c>
      <c r="E7" s="25" t="s">
        <v>221</v>
      </c>
      <c r="F7" s="25" t="s">
        <v>236</v>
      </c>
      <c r="G7" s="25" t="s">
        <v>183</v>
      </c>
      <c r="H7" s="25" t="s">
        <v>235</v>
      </c>
      <c r="I7" s="27">
        <v>43537</v>
      </c>
      <c r="K7" s="27">
        <v>43594</v>
      </c>
      <c r="L7" s="26">
        <v>462459</v>
      </c>
      <c r="N7" s="25" t="s">
        <v>234</v>
      </c>
      <c r="O7" s="25" t="s">
        <v>180</v>
      </c>
      <c r="P7" s="26">
        <v>371</v>
      </c>
      <c r="Q7" s="25" t="s">
        <v>179</v>
      </c>
      <c r="R7" s="25" t="s">
        <v>228</v>
      </c>
      <c r="S7" s="25" t="s">
        <v>177</v>
      </c>
      <c r="T7" s="25" t="s">
        <v>176</v>
      </c>
      <c r="U7" s="25" t="s">
        <v>175</v>
      </c>
    </row>
    <row r="8" spans="1:21" x14ac:dyDescent="0.2">
      <c r="A8" s="28"/>
      <c r="B8" s="25" t="s">
        <v>233</v>
      </c>
      <c r="C8" s="25">
        <v>13888877</v>
      </c>
      <c r="D8" s="25" t="s">
        <v>232</v>
      </c>
      <c r="E8" s="25" t="s">
        <v>221</v>
      </c>
      <c r="F8" s="25" t="s">
        <v>231</v>
      </c>
      <c r="G8" s="25" t="s">
        <v>183</v>
      </c>
      <c r="H8" s="25" t="s">
        <v>230</v>
      </c>
      <c r="I8" s="27">
        <v>43554</v>
      </c>
      <c r="K8" s="27">
        <v>43594</v>
      </c>
      <c r="L8" s="26">
        <v>873372</v>
      </c>
      <c r="N8" s="25" t="s">
        <v>229</v>
      </c>
      <c r="O8" s="25" t="s">
        <v>180</v>
      </c>
      <c r="P8" s="26">
        <v>371</v>
      </c>
      <c r="Q8" s="25" t="s">
        <v>179</v>
      </c>
      <c r="R8" s="25" t="s">
        <v>228</v>
      </c>
      <c r="S8" s="25" t="s">
        <v>177</v>
      </c>
      <c r="T8" s="25" t="s">
        <v>176</v>
      </c>
      <c r="U8" s="25" t="s">
        <v>175</v>
      </c>
    </row>
    <row r="9" spans="1:21" x14ac:dyDescent="0.2">
      <c r="A9" s="28"/>
      <c r="B9" s="25" t="s">
        <v>227</v>
      </c>
      <c r="C9" s="25">
        <v>13985748</v>
      </c>
      <c r="D9" s="25" t="s">
        <v>226</v>
      </c>
      <c r="E9" s="25" t="s">
        <v>221</v>
      </c>
      <c r="F9" s="25" t="s">
        <v>225</v>
      </c>
      <c r="G9" s="25" t="s">
        <v>183</v>
      </c>
      <c r="H9" s="25" t="s">
        <v>219</v>
      </c>
      <c r="I9" s="27">
        <v>43637</v>
      </c>
      <c r="K9" s="27">
        <v>43713</v>
      </c>
      <c r="L9" s="26">
        <v>79200</v>
      </c>
      <c r="N9" s="25" t="s">
        <v>224</v>
      </c>
      <c r="O9" s="25" t="s">
        <v>180</v>
      </c>
      <c r="P9" s="26">
        <v>253</v>
      </c>
      <c r="Q9" s="25" t="s">
        <v>179</v>
      </c>
      <c r="R9" s="25" t="s">
        <v>217</v>
      </c>
      <c r="S9" s="25" t="s">
        <v>177</v>
      </c>
      <c r="T9" s="25" t="s">
        <v>176</v>
      </c>
      <c r="U9" s="25" t="s">
        <v>175</v>
      </c>
    </row>
    <row r="10" spans="1:21" x14ac:dyDescent="0.2">
      <c r="A10" s="28"/>
      <c r="B10" s="25" t="s">
        <v>223</v>
      </c>
      <c r="C10" s="25">
        <v>14017815</v>
      </c>
      <c r="D10" s="25" t="s">
        <v>222</v>
      </c>
      <c r="E10" s="25" t="s">
        <v>221</v>
      </c>
      <c r="F10" s="25" t="s">
        <v>220</v>
      </c>
      <c r="G10" s="25" t="s">
        <v>183</v>
      </c>
      <c r="H10" s="25" t="s">
        <v>219</v>
      </c>
      <c r="I10" s="27">
        <v>43669</v>
      </c>
      <c r="K10" s="27">
        <v>43713</v>
      </c>
      <c r="L10" s="26">
        <v>273600</v>
      </c>
      <c r="N10" s="25" t="s">
        <v>218</v>
      </c>
      <c r="O10" s="25" t="s">
        <v>180</v>
      </c>
      <c r="P10" s="26">
        <v>253</v>
      </c>
      <c r="Q10" s="25" t="s">
        <v>189</v>
      </c>
      <c r="R10" s="25" t="s">
        <v>217</v>
      </c>
      <c r="S10" s="25" t="s">
        <v>177</v>
      </c>
      <c r="T10" s="25" t="s">
        <v>176</v>
      </c>
      <c r="U10" s="25" t="s">
        <v>175</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0C4FAC-92D3-4C4A-BFD7-E1ADA4D84B56}">
  <dimension ref="A1:V552"/>
  <sheetViews>
    <sheetView topLeftCell="A464" workbookViewId="0">
      <selection activeCell="M1" sqref="M1"/>
    </sheetView>
  </sheetViews>
  <sheetFormatPr baseColWidth="10" defaultRowHeight="12.75" x14ac:dyDescent="0.2"/>
  <cols>
    <col min="1" max="16384" width="11.42578125" style="25"/>
  </cols>
  <sheetData>
    <row r="1" spans="1:22" x14ac:dyDescent="0.2">
      <c r="A1" s="29" t="s">
        <v>216</v>
      </c>
      <c r="B1" s="29" t="s">
        <v>215</v>
      </c>
      <c r="C1" s="29" t="s">
        <v>215</v>
      </c>
      <c r="D1" s="29" t="s">
        <v>214</v>
      </c>
      <c r="E1" s="29" t="s">
        <v>213</v>
      </c>
      <c r="F1" s="29" t="s">
        <v>212</v>
      </c>
      <c r="G1" s="29" t="s">
        <v>211</v>
      </c>
      <c r="H1" s="29" t="s">
        <v>210</v>
      </c>
      <c r="I1" s="29" t="s">
        <v>209</v>
      </c>
      <c r="J1" s="29" t="s">
        <v>208</v>
      </c>
      <c r="K1" s="29" t="s">
        <v>207</v>
      </c>
      <c r="L1" s="29" t="s">
        <v>206</v>
      </c>
      <c r="M1" s="29" t="s">
        <v>205</v>
      </c>
      <c r="N1" s="29" t="s">
        <v>204</v>
      </c>
      <c r="O1" s="29" t="s">
        <v>203</v>
      </c>
      <c r="P1" s="29" t="s">
        <v>202</v>
      </c>
      <c r="Q1" s="29" t="s">
        <v>201</v>
      </c>
      <c r="R1" s="29" t="s">
        <v>200</v>
      </c>
      <c r="S1" s="29" t="s">
        <v>199</v>
      </c>
      <c r="T1" s="29" t="s">
        <v>198</v>
      </c>
      <c r="U1" s="29" t="s">
        <v>197</v>
      </c>
    </row>
    <row r="2" spans="1:22" x14ac:dyDescent="0.2">
      <c r="A2" s="28"/>
      <c r="B2" s="25" t="s">
        <v>555</v>
      </c>
      <c r="C2" s="25">
        <v>14051741</v>
      </c>
      <c r="D2" s="25" t="s">
        <v>267</v>
      </c>
      <c r="E2" s="25" t="s">
        <v>185</v>
      </c>
      <c r="F2" s="25" t="s">
        <v>554</v>
      </c>
      <c r="G2" s="25" t="s">
        <v>553</v>
      </c>
      <c r="H2" s="25" t="s">
        <v>265</v>
      </c>
      <c r="I2" s="27">
        <v>43700</v>
      </c>
      <c r="K2" s="27">
        <v>43981</v>
      </c>
      <c r="L2" s="26">
        <v>-162529</v>
      </c>
      <c r="M2" s="25">
        <v>2000324562</v>
      </c>
      <c r="N2" s="25" t="s">
        <v>552</v>
      </c>
      <c r="O2" s="25" t="s">
        <v>180</v>
      </c>
      <c r="P2" s="26">
        <v>147</v>
      </c>
      <c r="Q2" s="25" t="s">
        <v>179</v>
      </c>
      <c r="R2" s="25" t="s">
        <v>262</v>
      </c>
      <c r="S2" s="25" t="s">
        <v>177</v>
      </c>
      <c r="T2" s="25" t="s">
        <v>176</v>
      </c>
      <c r="U2" s="25" t="s">
        <v>175</v>
      </c>
      <c r="V2" s="32" t="s">
        <v>1737</v>
      </c>
    </row>
    <row r="3" spans="1:22" x14ac:dyDescent="0.2">
      <c r="A3" s="28"/>
      <c r="B3" s="25" t="s">
        <v>551</v>
      </c>
      <c r="C3" s="25">
        <v>14049496</v>
      </c>
      <c r="D3" s="25" t="s">
        <v>267</v>
      </c>
      <c r="E3" s="25" t="s">
        <v>185</v>
      </c>
      <c r="F3" s="25" t="s">
        <v>550</v>
      </c>
      <c r="G3" s="25" t="s">
        <v>183</v>
      </c>
      <c r="H3" s="25" t="s">
        <v>235</v>
      </c>
      <c r="I3" s="27">
        <v>43698</v>
      </c>
      <c r="K3" s="27">
        <v>43952</v>
      </c>
      <c r="L3" s="26">
        <v>-54400</v>
      </c>
      <c r="M3" s="25">
        <v>2000324562</v>
      </c>
      <c r="N3" s="25" t="s">
        <v>549</v>
      </c>
      <c r="O3" s="25" t="s">
        <v>180</v>
      </c>
      <c r="P3" s="26">
        <v>177</v>
      </c>
      <c r="Q3" s="25" t="s">
        <v>179</v>
      </c>
      <c r="R3" s="25" t="s">
        <v>262</v>
      </c>
      <c r="S3" s="25" t="s">
        <v>177</v>
      </c>
      <c r="T3" s="25" t="s">
        <v>176</v>
      </c>
      <c r="U3" s="25" t="s">
        <v>175</v>
      </c>
      <c r="V3" s="32" t="s">
        <v>1737</v>
      </c>
    </row>
    <row r="4" spans="1:22" x14ac:dyDescent="0.2">
      <c r="A4" s="28"/>
      <c r="B4" s="25" t="s">
        <v>548</v>
      </c>
      <c r="C4" s="25">
        <v>14053032</v>
      </c>
      <c r="D4" s="25" t="s">
        <v>267</v>
      </c>
      <c r="E4" s="25" t="s">
        <v>185</v>
      </c>
      <c r="F4" s="25" t="s">
        <v>547</v>
      </c>
      <c r="G4" s="25" t="s">
        <v>183</v>
      </c>
      <c r="H4" s="25" t="s">
        <v>546</v>
      </c>
      <c r="I4" s="27">
        <v>43700</v>
      </c>
      <c r="K4" s="27">
        <v>43952</v>
      </c>
      <c r="L4" s="26">
        <v>-54779</v>
      </c>
      <c r="M4" s="25">
        <v>2000324562</v>
      </c>
      <c r="N4" s="25" t="s">
        <v>545</v>
      </c>
      <c r="O4" s="25" t="s">
        <v>180</v>
      </c>
      <c r="P4" s="26">
        <v>177</v>
      </c>
      <c r="Q4" s="25" t="s">
        <v>179</v>
      </c>
      <c r="R4" s="25" t="s">
        <v>262</v>
      </c>
      <c r="S4" s="25" t="s">
        <v>177</v>
      </c>
      <c r="T4" s="25" t="s">
        <v>176</v>
      </c>
      <c r="U4" s="25" t="s">
        <v>175</v>
      </c>
      <c r="V4" s="32" t="s">
        <v>1737</v>
      </c>
    </row>
    <row r="5" spans="1:22" x14ac:dyDescent="0.2">
      <c r="A5" s="28"/>
      <c r="B5" s="25" t="s">
        <v>544</v>
      </c>
      <c r="C5" s="25">
        <v>14039063</v>
      </c>
      <c r="D5" s="25" t="s">
        <v>543</v>
      </c>
      <c r="E5" s="25" t="s">
        <v>185</v>
      </c>
      <c r="F5" s="25" t="s">
        <v>542</v>
      </c>
      <c r="G5" s="25" t="s">
        <v>183</v>
      </c>
      <c r="H5" s="25" t="s">
        <v>240</v>
      </c>
      <c r="I5" s="27">
        <v>43687</v>
      </c>
      <c r="K5" s="27">
        <v>43954</v>
      </c>
      <c r="L5" s="26">
        <v>-140419</v>
      </c>
      <c r="M5" s="25">
        <v>2000324562</v>
      </c>
      <c r="N5" s="25" t="s">
        <v>541</v>
      </c>
      <c r="O5" s="25" t="s">
        <v>180</v>
      </c>
      <c r="P5" s="26">
        <v>177</v>
      </c>
      <c r="Q5" s="25" t="s">
        <v>179</v>
      </c>
      <c r="R5" s="25" t="s">
        <v>427</v>
      </c>
      <c r="S5" s="25" t="s">
        <v>177</v>
      </c>
      <c r="T5" s="25" t="s">
        <v>176</v>
      </c>
      <c r="U5" s="25" t="s">
        <v>175</v>
      </c>
      <c r="V5" s="32" t="s">
        <v>1737</v>
      </c>
    </row>
    <row r="6" spans="1:22" x14ac:dyDescent="0.2">
      <c r="A6" s="28"/>
      <c r="B6" s="25" t="s">
        <v>540</v>
      </c>
      <c r="C6" s="25">
        <v>14059388</v>
      </c>
      <c r="D6" s="25" t="s">
        <v>539</v>
      </c>
      <c r="E6" s="25" t="s">
        <v>185</v>
      </c>
      <c r="F6" s="25" t="s">
        <v>538</v>
      </c>
      <c r="G6" s="25" t="s">
        <v>183</v>
      </c>
      <c r="H6" s="25" t="s">
        <v>537</v>
      </c>
      <c r="I6" s="27">
        <v>43817</v>
      </c>
      <c r="K6" s="27">
        <v>43817</v>
      </c>
      <c r="L6" s="26">
        <v>-55098</v>
      </c>
      <c r="M6" s="25">
        <v>2000324562</v>
      </c>
      <c r="N6" s="25" t="s">
        <v>536</v>
      </c>
      <c r="O6" s="25" t="s">
        <v>180</v>
      </c>
      <c r="P6" s="26">
        <v>177</v>
      </c>
      <c r="Q6" s="25" t="s">
        <v>535</v>
      </c>
      <c r="R6" s="25" t="s">
        <v>534</v>
      </c>
      <c r="S6" s="25" t="s">
        <v>177</v>
      </c>
      <c r="T6" s="25" t="s">
        <v>176</v>
      </c>
      <c r="U6" s="25" t="s">
        <v>175</v>
      </c>
      <c r="V6" s="32" t="s">
        <v>1737</v>
      </c>
    </row>
    <row r="7" spans="1:22" x14ac:dyDescent="0.2">
      <c r="A7" s="28"/>
      <c r="B7" s="25" t="s">
        <v>533</v>
      </c>
      <c r="C7" s="25">
        <v>14128051</v>
      </c>
      <c r="D7" s="25" t="s">
        <v>532</v>
      </c>
      <c r="E7" s="25" t="s">
        <v>351</v>
      </c>
      <c r="F7" s="25" t="s">
        <v>531</v>
      </c>
      <c r="G7" s="25" t="s">
        <v>183</v>
      </c>
      <c r="H7" s="25" t="s">
        <v>530</v>
      </c>
      <c r="I7" s="27">
        <v>43770</v>
      </c>
      <c r="K7" s="27">
        <v>43973</v>
      </c>
      <c r="L7" s="26">
        <v>-170876</v>
      </c>
      <c r="M7" s="25">
        <v>2000324562</v>
      </c>
      <c r="N7" s="25" t="s">
        <v>529</v>
      </c>
      <c r="O7" s="25" t="s">
        <v>180</v>
      </c>
      <c r="P7" s="26">
        <v>134</v>
      </c>
      <c r="Q7" s="25" t="s">
        <v>179</v>
      </c>
      <c r="R7" s="25" t="s">
        <v>528</v>
      </c>
      <c r="S7" s="25" t="s">
        <v>177</v>
      </c>
      <c r="T7" s="25" t="s">
        <v>176</v>
      </c>
      <c r="U7" s="25" t="s">
        <v>175</v>
      </c>
      <c r="V7" s="32" t="s">
        <v>1737</v>
      </c>
    </row>
    <row r="8" spans="1:22" x14ac:dyDescent="0.2">
      <c r="A8" s="28"/>
      <c r="B8" s="25" t="s">
        <v>527</v>
      </c>
      <c r="C8" s="25">
        <v>14056365</v>
      </c>
      <c r="D8" s="25" t="s">
        <v>508</v>
      </c>
      <c r="E8" s="25" t="s">
        <v>312</v>
      </c>
      <c r="F8" s="25" t="s">
        <v>526</v>
      </c>
      <c r="G8" s="25" t="s">
        <v>183</v>
      </c>
      <c r="H8" s="25" t="s">
        <v>219</v>
      </c>
      <c r="I8" s="27">
        <v>43704</v>
      </c>
      <c r="K8" s="27">
        <v>43952</v>
      </c>
      <c r="L8" s="26">
        <v>-33200</v>
      </c>
      <c r="M8" s="25">
        <v>2000324562</v>
      </c>
      <c r="N8" s="25" t="s">
        <v>327</v>
      </c>
      <c r="O8" s="25" t="s">
        <v>180</v>
      </c>
      <c r="P8" s="26">
        <v>134</v>
      </c>
      <c r="Q8" s="25" t="s">
        <v>179</v>
      </c>
      <c r="R8" s="25" t="s">
        <v>491</v>
      </c>
      <c r="S8" s="25" t="s">
        <v>177</v>
      </c>
      <c r="T8" s="25" t="s">
        <v>176</v>
      </c>
      <c r="U8" s="25" t="s">
        <v>175</v>
      </c>
      <c r="V8" s="32" t="s">
        <v>1737</v>
      </c>
    </row>
    <row r="9" spans="1:22" x14ac:dyDescent="0.2">
      <c r="A9" s="28"/>
      <c r="B9" s="25" t="s">
        <v>525</v>
      </c>
      <c r="C9" s="25">
        <v>14060446</v>
      </c>
      <c r="D9" s="25" t="s">
        <v>508</v>
      </c>
      <c r="E9" s="25" t="s">
        <v>312</v>
      </c>
      <c r="F9" s="25" t="s">
        <v>524</v>
      </c>
      <c r="G9" s="25" t="s">
        <v>183</v>
      </c>
      <c r="H9" s="25" t="s">
        <v>219</v>
      </c>
      <c r="I9" s="27">
        <v>43707</v>
      </c>
      <c r="K9" s="27">
        <v>43952</v>
      </c>
      <c r="L9" s="26">
        <v>-47800</v>
      </c>
      <c r="M9" s="25">
        <v>2000324562</v>
      </c>
      <c r="N9" s="25" t="s">
        <v>327</v>
      </c>
      <c r="O9" s="25" t="s">
        <v>180</v>
      </c>
      <c r="P9" s="26">
        <v>134</v>
      </c>
      <c r="Q9" s="25" t="s">
        <v>179</v>
      </c>
      <c r="R9" s="25" t="s">
        <v>491</v>
      </c>
      <c r="S9" s="25" t="s">
        <v>177</v>
      </c>
      <c r="T9" s="25" t="s">
        <v>176</v>
      </c>
      <c r="U9" s="25" t="s">
        <v>175</v>
      </c>
      <c r="V9" s="32" t="s">
        <v>1737</v>
      </c>
    </row>
    <row r="10" spans="1:22" x14ac:dyDescent="0.2">
      <c r="A10" s="28"/>
      <c r="B10" s="25" t="s">
        <v>523</v>
      </c>
      <c r="C10" s="25">
        <v>14061332</v>
      </c>
      <c r="D10" s="25" t="s">
        <v>508</v>
      </c>
      <c r="E10" s="25" t="s">
        <v>312</v>
      </c>
      <c r="F10" s="25" t="s">
        <v>522</v>
      </c>
      <c r="G10" s="25" t="s">
        <v>183</v>
      </c>
      <c r="H10" s="25" t="s">
        <v>219</v>
      </c>
      <c r="I10" s="27">
        <v>43708</v>
      </c>
      <c r="K10" s="27">
        <v>43952</v>
      </c>
      <c r="L10" s="26">
        <v>-47800</v>
      </c>
      <c r="M10" s="25">
        <v>2000324562</v>
      </c>
      <c r="N10" s="25" t="s">
        <v>327</v>
      </c>
      <c r="O10" s="25" t="s">
        <v>180</v>
      </c>
      <c r="P10" s="26">
        <v>134</v>
      </c>
      <c r="Q10" s="25" t="s">
        <v>179</v>
      </c>
      <c r="R10" s="25" t="s">
        <v>491</v>
      </c>
      <c r="S10" s="25" t="s">
        <v>177</v>
      </c>
      <c r="T10" s="25" t="s">
        <v>176</v>
      </c>
      <c r="U10" s="25" t="s">
        <v>175</v>
      </c>
      <c r="V10" s="32" t="s">
        <v>1737</v>
      </c>
    </row>
    <row r="11" spans="1:22" x14ac:dyDescent="0.2">
      <c r="A11" s="28"/>
      <c r="B11" s="25" t="s">
        <v>521</v>
      </c>
      <c r="C11" s="25">
        <v>14085950</v>
      </c>
      <c r="D11" s="25" t="s">
        <v>508</v>
      </c>
      <c r="E11" s="25" t="s">
        <v>312</v>
      </c>
      <c r="F11" s="25" t="s">
        <v>520</v>
      </c>
      <c r="G11" s="25" t="s">
        <v>183</v>
      </c>
      <c r="H11" s="25" t="s">
        <v>219</v>
      </c>
      <c r="I11" s="27">
        <v>43732</v>
      </c>
      <c r="K11" s="27">
        <v>43952</v>
      </c>
      <c r="L11" s="26">
        <v>-24000</v>
      </c>
      <c r="M11" s="25">
        <v>2000324562</v>
      </c>
      <c r="N11" s="25" t="s">
        <v>327</v>
      </c>
      <c r="O11" s="25" t="s">
        <v>180</v>
      </c>
      <c r="P11" s="26">
        <v>134</v>
      </c>
      <c r="Q11" s="25" t="s">
        <v>179</v>
      </c>
      <c r="R11" s="25" t="s">
        <v>491</v>
      </c>
      <c r="S11" s="25" t="s">
        <v>177</v>
      </c>
      <c r="T11" s="25" t="s">
        <v>176</v>
      </c>
      <c r="U11" s="25" t="s">
        <v>175</v>
      </c>
      <c r="V11" s="32" t="s">
        <v>1737</v>
      </c>
    </row>
    <row r="12" spans="1:22" x14ac:dyDescent="0.2">
      <c r="A12" s="28"/>
      <c r="B12" s="25" t="s">
        <v>519</v>
      </c>
      <c r="C12" s="25">
        <v>14090046</v>
      </c>
      <c r="D12" s="25" t="s">
        <v>508</v>
      </c>
      <c r="E12" s="25" t="s">
        <v>312</v>
      </c>
      <c r="F12" s="25" t="s">
        <v>518</v>
      </c>
      <c r="G12" s="25" t="s">
        <v>183</v>
      </c>
      <c r="H12" s="25" t="s">
        <v>258</v>
      </c>
      <c r="I12" s="27">
        <v>43735</v>
      </c>
      <c r="K12" s="27">
        <v>43952</v>
      </c>
      <c r="L12" s="26">
        <v>-47800</v>
      </c>
      <c r="M12" s="25">
        <v>2000324562</v>
      </c>
      <c r="N12" s="25" t="s">
        <v>335</v>
      </c>
      <c r="O12" s="25" t="s">
        <v>180</v>
      </c>
      <c r="P12" s="26">
        <v>134</v>
      </c>
      <c r="Q12" s="25" t="s">
        <v>179</v>
      </c>
      <c r="R12" s="25" t="s">
        <v>491</v>
      </c>
      <c r="S12" s="25" t="s">
        <v>177</v>
      </c>
      <c r="T12" s="25" t="s">
        <v>176</v>
      </c>
      <c r="U12" s="25" t="s">
        <v>175</v>
      </c>
      <c r="V12" s="32" t="s">
        <v>1737</v>
      </c>
    </row>
    <row r="13" spans="1:22" x14ac:dyDescent="0.2">
      <c r="A13" s="28"/>
      <c r="B13" s="25" t="s">
        <v>517</v>
      </c>
      <c r="C13" s="25">
        <v>14129868</v>
      </c>
      <c r="D13" s="25" t="s">
        <v>508</v>
      </c>
      <c r="E13" s="25" t="s">
        <v>312</v>
      </c>
      <c r="F13" s="25" t="s">
        <v>516</v>
      </c>
      <c r="G13" s="25" t="s">
        <v>183</v>
      </c>
      <c r="H13" s="25" t="s">
        <v>258</v>
      </c>
      <c r="I13" s="27">
        <v>43774</v>
      </c>
      <c r="K13" s="27">
        <v>43952</v>
      </c>
      <c r="L13" s="26">
        <v>-24000</v>
      </c>
      <c r="M13" s="25">
        <v>2000324562</v>
      </c>
      <c r="N13" s="25" t="s">
        <v>335</v>
      </c>
      <c r="O13" s="25" t="s">
        <v>180</v>
      </c>
      <c r="P13" s="26">
        <v>134</v>
      </c>
      <c r="Q13" s="25" t="s">
        <v>179</v>
      </c>
      <c r="R13" s="25" t="s">
        <v>491</v>
      </c>
      <c r="S13" s="25" t="s">
        <v>177</v>
      </c>
      <c r="T13" s="25" t="s">
        <v>176</v>
      </c>
      <c r="U13" s="25" t="s">
        <v>175</v>
      </c>
      <c r="V13" s="32" t="s">
        <v>1737</v>
      </c>
    </row>
    <row r="14" spans="1:22" x14ac:dyDescent="0.2">
      <c r="A14" s="28"/>
      <c r="B14" s="25" t="s">
        <v>515</v>
      </c>
      <c r="C14" s="25">
        <v>14129879</v>
      </c>
      <c r="D14" s="25" t="s">
        <v>508</v>
      </c>
      <c r="E14" s="25" t="s">
        <v>312</v>
      </c>
      <c r="F14" s="25" t="s">
        <v>514</v>
      </c>
      <c r="G14" s="25" t="s">
        <v>183</v>
      </c>
      <c r="H14" s="25" t="s">
        <v>258</v>
      </c>
      <c r="I14" s="27">
        <v>43774</v>
      </c>
      <c r="K14" s="27">
        <v>43952</v>
      </c>
      <c r="L14" s="26">
        <v>-47800</v>
      </c>
      <c r="M14" s="25">
        <v>2000324562</v>
      </c>
      <c r="N14" s="25" t="s">
        <v>335</v>
      </c>
      <c r="O14" s="25" t="s">
        <v>180</v>
      </c>
      <c r="P14" s="26">
        <v>134</v>
      </c>
      <c r="Q14" s="25" t="s">
        <v>179</v>
      </c>
      <c r="R14" s="25" t="s">
        <v>491</v>
      </c>
      <c r="S14" s="25" t="s">
        <v>177</v>
      </c>
      <c r="T14" s="25" t="s">
        <v>176</v>
      </c>
      <c r="U14" s="25" t="s">
        <v>175</v>
      </c>
      <c r="V14" s="32" t="s">
        <v>1737</v>
      </c>
    </row>
    <row r="15" spans="1:22" x14ac:dyDescent="0.2">
      <c r="A15" s="28"/>
      <c r="B15" s="25" t="s">
        <v>513</v>
      </c>
      <c r="C15" s="25">
        <v>14130160</v>
      </c>
      <c r="D15" s="25" t="s">
        <v>508</v>
      </c>
      <c r="E15" s="25" t="s">
        <v>312</v>
      </c>
      <c r="F15" s="25" t="s">
        <v>512</v>
      </c>
      <c r="G15" s="25" t="s">
        <v>183</v>
      </c>
      <c r="H15" s="25" t="s">
        <v>219</v>
      </c>
      <c r="I15" s="27">
        <v>43774</v>
      </c>
      <c r="K15" s="27">
        <v>43952</v>
      </c>
      <c r="L15" s="26">
        <v>-47800</v>
      </c>
      <c r="M15" s="25">
        <v>2000324562</v>
      </c>
      <c r="N15" s="25" t="s">
        <v>327</v>
      </c>
      <c r="O15" s="25" t="s">
        <v>180</v>
      </c>
      <c r="P15" s="26">
        <v>134</v>
      </c>
      <c r="Q15" s="25" t="s">
        <v>179</v>
      </c>
      <c r="R15" s="25" t="s">
        <v>491</v>
      </c>
      <c r="S15" s="25" t="s">
        <v>177</v>
      </c>
      <c r="T15" s="25" t="s">
        <v>176</v>
      </c>
      <c r="U15" s="25" t="s">
        <v>175</v>
      </c>
      <c r="V15" s="32" t="s">
        <v>1737</v>
      </c>
    </row>
    <row r="16" spans="1:22" x14ac:dyDescent="0.2">
      <c r="A16" s="28"/>
      <c r="B16" s="25" t="s">
        <v>511</v>
      </c>
      <c r="C16" s="25">
        <v>14139579</v>
      </c>
      <c r="D16" s="25" t="s">
        <v>508</v>
      </c>
      <c r="E16" s="25" t="s">
        <v>312</v>
      </c>
      <c r="F16" s="25" t="s">
        <v>510</v>
      </c>
      <c r="G16" s="25" t="s">
        <v>183</v>
      </c>
      <c r="H16" s="25" t="s">
        <v>258</v>
      </c>
      <c r="I16" s="27">
        <v>43783</v>
      </c>
      <c r="K16" s="27">
        <v>43952</v>
      </c>
      <c r="L16" s="26">
        <v>-33200</v>
      </c>
      <c r="M16" s="25">
        <v>2000324562</v>
      </c>
      <c r="N16" s="25" t="s">
        <v>335</v>
      </c>
      <c r="O16" s="25" t="s">
        <v>180</v>
      </c>
      <c r="P16" s="26">
        <v>134</v>
      </c>
      <c r="Q16" s="25" t="s">
        <v>179</v>
      </c>
      <c r="R16" s="25" t="s">
        <v>491</v>
      </c>
      <c r="S16" s="25" t="s">
        <v>177</v>
      </c>
      <c r="T16" s="25" t="s">
        <v>176</v>
      </c>
      <c r="U16" s="25" t="s">
        <v>175</v>
      </c>
      <c r="V16" s="32" t="s">
        <v>1737</v>
      </c>
    </row>
    <row r="17" spans="1:22" x14ac:dyDescent="0.2">
      <c r="A17" s="28"/>
      <c r="B17" s="25" t="s">
        <v>509</v>
      </c>
      <c r="C17" s="25">
        <v>14152608</v>
      </c>
      <c r="D17" s="25" t="s">
        <v>508</v>
      </c>
      <c r="E17" s="25" t="s">
        <v>312</v>
      </c>
      <c r="F17" s="25" t="s">
        <v>507</v>
      </c>
      <c r="G17" s="25" t="s">
        <v>183</v>
      </c>
      <c r="H17" s="25" t="s">
        <v>219</v>
      </c>
      <c r="I17" s="27">
        <v>43795</v>
      </c>
      <c r="K17" s="27">
        <v>43952</v>
      </c>
      <c r="L17" s="26">
        <v>-492500</v>
      </c>
      <c r="M17" s="25">
        <v>2000324562</v>
      </c>
      <c r="N17" s="25" t="s">
        <v>327</v>
      </c>
      <c r="O17" s="25" t="s">
        <v>180</v>
      </c>
      <c r="P17" s="26">
        <v>134</v>
      </c>
      <c r="Q17" s="25" t="s">
        <v>179</v>
      </c>
      <c r="R17" s="25" t="s">
        <v>491</v>
      </c>
      <c r="S17" s="25" t="s">
        <v>177</v>
      </c>
      <c r="T17" s="25" t="s">
        <v>176</v>
      </c>
      <c r="U17" s="25" t="s">
        <v>175</v>
      </c>
      <c r="V17" s="32" t="s">
        <v>1737</v>
      </c>
    </row>
    <row r="18" spans="1:22" x14ac:dyDescent="0.2">
      <c r="A18" s="28"/>
      <c r="B18" s="25" t="s">
        <v>261</v>
      </c>
      <c r="C18" s="25">
        <v>14061732</v>
      </c>
      <c r="D18" s="25" t="s">
        <v>260</v>
      </c>
      <c r="E18" s="25" t="s">
        <v>185</v>
      </c>
      <c r="F18" s="25" t="s">
        <v>259</v>
      </c>
      <c r="G18" s="25" t="s">
        <v>183</v>
      </c>
      <c r="H18" s="25" t="s">
        <v>258</v>
      </c>
      <c r="I18" s="27">
        <v>43708</v>
      </c>
      <c r="K18" s="27">
        <v>43979</v>
      </c>
      <c r="L18" s="26">
        <v>-1138743</v>
      </c>
      <c r="M18" s="25">
        <v>2000324562</v>
      </c>
      <c r="N18" s="25" t="s">
        <v>506</v>
      </c>
      <c r="O18" s="25" t="s">
        <v>180</v>
      </c>
      <c r="P18" s="26">
        <v>134</v>
      </c>
      <c r="Q18" s="25" t="s">
        <v>179</v>
      </c>
      <c r="R18" s="25" t="s">
        <v>256</v>
      </c>
      <c r="S18" s="25" t="s">
        <v>177</v>
      </c>
      <c r="T18" s="25" t="s">
        <v>176</v>
      </c>
      <c r="U18" s="25" t="s">
        <v>175</v>
      </c>
      <c r="V18" s="32" t="s">
        <v>1737</v>
      </c>
    </row>
    <row r="19" spans="1:22" x14ac:dyDescent="0.2">
      <c r="A19" s="28"/>
      <c r="B19" s="25" t="s">
        <v>505</v>
      </c>
      <c r="C19" s="25">
        <v>14128080</v>
      </c>
      <c r="D19" s="25" t="s">
        <v>260</v>
      </c>
      <c r="E19" s="25" t="s">
        <v>185</v>
      </c>
      <c r="F19" s="25" t="s">
        <v>504</v>
      </c>
      <c r="G19" s="25" t="s">
        <v>183</v>
      </c>
      <c r="H19" s="25" t="s">
        <v>258</v>
      </c>
      <c r="I19" s="27">
        <v>43770</v>
      </c>
      <c r="K19" s="27">
        <v>43979</v>
      </c>
      <c r="L19" s="26">
        <v>-61610</v>
      </c>
      <c r="M19" s="25">
        <v>2000324562</v>
      </c>
      <c r="N19" s="25" t="s">
        <v>503</v>
      </c>
      <c r="O19" s="25" t="s">
        <v>180</v>
      </c>
      <c r="P19" s="26">
        <v>134</v>
      </c>
      <c r="Q19" s="25" t="s">
        <v>179</v>
      </c>
      <c r="R19" s="25" t="s">
        <v>256</v>
      </c>
      <c r="S19" s="25" t="s">
        <v>177</v>
      </c>
      <c r="T19" s="25" t="s">
        <v>176</v>
      </c>
      <c r="U19" s="25" t="s">
        <v>175</v>
      </c>
      <c r="V19" s="32" t="s">
        <v>1737</v>
      </c>
    </row>
    <row r="20" spans="1:22" x14ac:dyDescent="0.2">
      <c r="A20" s="28"/>
      <c r="B20" s="25" t="s">
        <v>502</v>
      </c>
      <c r="C20" s="25">
        <v>14129197</v>
      </c>
      <c r="D20" s="25" t="s">
        <v>260</v>
      </c>
      <c r="E20" s="25" t="s">
        <v>185</v>
      </c>
      <c r="F20" s="25" t="s">
        <v>501</v>
      </c>
      <c r="G20" s="25" t="s">
        <v>183</v>
      </c>
      <c r="H20" s="25" t="s">
        <v>258</v>
      </c>
      <c r="I20" s="27">
        <v>43772</v>
      </c>
      <c r="K20" s="27">
        <v>43979</v>
      </c>
      <c r="L20" s="26">
        <v>-120545</v>
      </c>
      <c r="M20" s="25">
        <v>2000324562</v>
      </c>
      <c r="N20" s="25" t="s">
        <v>393</v>
      </c>
      <c r="O20" s="25" t="s">
        <v>180</v>
      </c>
      <c r="P20" s="26">
        <v>134</v>
      </c>
      <c r="Q20" s="25" t="s">
        <v>179</v>
      </c>
      <c r="R20" s="25" t="s">
        <v>256</v>
      </c>
      <c r="S20" s="25" t="s">
        <v>177</v>
      </c>
      <c r="T20" s="25" t="s">
        <v>176</v>
      </c>
      <c r="U20" s="25" t="s">
        <v>175</v>
      </c>
      <c r="V20" s="32" t="s">
        <v>1737</v>
      </c>
    </row>
    <row r="21" spans="1:22" x14ac:dyDescent="0.2">
      <c r="A21" s="28"/>
      <c r="B21" s="25" t="s">
        <v>500</v>
      </c>
      <c r="C21" s="25">
        <v>14141827</v>
      </c>
      <c r="D21" s="25" t="s">
        <v>260</v>
      </c>
      <c r="E21" s="25" t="s">
        <v>185</v>
      </c>
      <c r="F21" s="25" t="s">
        <v>499</v>
      </c>
      <c r="G21" s="25" t="s">
        <v>183</v>
      </c>
      <c r="H21" s="25" t="s">
        <v>258</v>
      </c>
      <c r="I21" s="27">
        <v>43784</v>
      </c>
      <c r="K21" s="27">
        <v>43979</v>
      </c>
      <c r="L21" s="26">
        <v>-238212</v>
      </c>
      <c r="M21" s="25">
        <v>2000324562</v>
      </c>
      <c r="N21" s="25" t="s">
        <v>404</v>
      </c>
      <c r="O21" s="25" t="s">
        <v>180</v>
      </c>
      <c r="P21" s="26">
        <v>134</v>
      </c>
      <c r="Q21" s="25" t="s">
        <v>179</v>
      </c>
      <c r="R21" s="25" t="s">
        <v>256</v>
      </c>
      <c r="S21" s="25" t="s">
        <v>177</v>
      </c>
      <c r="T21" s="25" t="s">
        <v>176</v>
      </c>
      <c r="U21" s="25" t="s">
        <v>175</v>
      </c>
      <c r="V21" s="32" t="s">
        <v>1737</v>
      </c>
    </row>
    <row r="22" spans="1:22" x14ac:dyDescent="0.2">
      <c r="A22" s="28"/>
      <c r="B22" s="25" t="s">
        <v>498</v>
      </c>
      <c r="C22" s="25">
        <v>14152839</v>
      </c>
      <c r="D22" s="25" t="s">
        <v>260</v>
      </c>
      <c r="E22" s="25" t="s">
        <v>185</v>
      </c>
      <c r="F22" s="25" t="s">
        <v>497</v>
      </c>
      <c r="G22" s="25" t="s">
        <v>183</v>
      </c>
      <c r="H22" s="25" t="s">
        <v>258</v>
      </c>
      <c r="I22" s="27">
        <v>43795</v>
      </c>
      <c r="K22" s="27">
        <v>43979</v>
      </c>
      <c r="L22" s="26">
        <v>-69193</v>
      </c>
      <c r="M22" s="25">
        <v>2000324562</v>
      </c>
      <c r="N22" s="25" t="s">
        <v>393</v>
      </c>
      <c r="O22" s="25" t="s">
        <v>180</v>
      </c>
      <c r="P22" s="26">
        <v>134</v>
      </c>
      <c r="Q22" s="25" t="s">
        <v>179</v>
      </c>
      <c r="R22" s="25" t="s">
        <v>256</v>
      </c>
      <c r="S22" s="25" t="s">
        <v>177</v>
      </c>
      <c r="T22" s="25" t="s">
        <v>176</v>
      </c>
      <c r="U22" s="25" t="s">
        <v>175</v>
      </c>
      <c r="V22" s="32" t="s">
        <v>1737</v>
      </c>
    </row>
    <row r="23" spans="1:22" x14ac:dyDescent="0.2">
      <c r="A23" s="28"/>
      <c r="B23" s="25" t="s">
        <v>496</v>
      </c>
      <c r="C23" s="25">
        <v>14088104</v>
      </c>
      <c r="D23" s="25" t="s">
        <v>493</v>
      </c>
      <c r="E23" s="25" t="s">
        <v>312</v>
      </c>
      <c r="F23" s="25" t="s">
        <v>495</v>
      </c>
      <c r="G23" s="25" t="s">
        <v>183</v>
      </c>
      <c r="H23" s="25" t="s">
        <v>258</v>
      </c>
      <c r="I23" s="27">
        <v>43734</v>
      </c>
      <c r="K23" s="27">
        <v>43979</v>
      </c>
      <c r="L23" s="26">
        <v>-72600</v>
      </c>
      <c r="M23" s="25">
        <v>2000324562</v>
      </c>
      <c r="N23" s="25" t="s">
        <v>335</v>
      </c>
      <c r="O23" s="25" t="s">
        <v>180</v>
      </c>
      <c r="P23" s="26">
        <v>134</v>
      </c>
      <c r="Q23" s="25" t="s">
        <v>179</v>
      </c>
      <c r="R23" s="25" t="s">
        <v>491</v>
      </c>
      <c r="S23" s="25" t="s">
        <v>177</v>
      </c>
      <c r="T23" s="25" t="s">
        <v>176</v>
      </c>
      <c r="U23" s="25" t="s">
        <v>175</v>
      </c>
      <c r="V23" s="32" t="s">
        <v>1737</v>
      </c>
    </row>
    <row r="24" spans="1:22" x14ac:dyDescent="0.2">
      <c r="A24" s="28"/>
      <c r="B24" s="25" t="s">
        <v>494</v>
      </c>
      <c r="C24" s="25">
        <v>14086331</v>
      </c>
      <c r="D24" s="25" t="s">
        <v>493</v>
      </c>
      <c r="E24" s="25" t="s">
        <v>312</v>
      </c>
      <c r="F24" s="25" t="s">
        <v>492</v>
      </c>
      <c r="G24" s="25" t="s">
        <v>183</v>
      </c>
      <c r="H24" s="25" t="s">
        <v>258</v>
      </c>
      <c r="I24" s="27">
        <v>43733</v>
      </c>
      <c r="K24" s="27">
        <v>43979</v>
      </c>
      <c r="L24" s="26">
        <v>-781600</v>
      </c>
      <c r="M24" s="25">
        <v>2000324562</v>
      </c>
      <c r="N24" s="25" t="s">
        <v>335</v>
      </c>
      <c r="O24" s="25" t="s">
        <v>180</v>
      </c>
      <c r="P24" s="26">
        <v>134</v>
      </c>
      <c r="Q24" s="25" t="s">
        <v>179</v>
      </c>
      <c r="R24" s="25" t="s">
        <v>491</v>
      </c>
      <c r="S24" s="25" t="s">
        <v>177</v>
      </c>
      <c r="T24" s="25" t="s">
        <v>176</v>
      </c>
      <c r="U24" s="25" t="s">
        <v>175</v>
      </c>
      <c r="V24" s="32" t="s">
        <v>1737</v>
      </c>
    </row>
    <row r="25" spans="1:22" x14ac:dyDescent="0.2">
      <c r="A25" s="28"/>
      <c r="B25" s="25" t="s">
        <v>490</v>
      </c>
      <c r="C25" s="25">
        <v>14094605</v>
      </c>
      <c r="D25" s="25" t="s">
        <v>460</v>
      </c>
      <c r="E25" s="25" t="s">
        <v>185</v>
      </c>
      <c r="F25" s="25" t="s">
        <v>489</v>
      </c>
      <c r="G25" s="25" t="s">
        <v>183</v>
      </c>
      <c r="H25" s="25" t="s">
        <v>258</v>
      </c>
      <c r="I25" s="27">
        <v>43739</v>
      </c>
      <c r="K25" s="27">
        <v>43957</v>
      </c>
      <c r="L25" s="26">
        <v>-47800</v>
      </c>
      <c r="M25" s="25">
        <v>2000324562</v>
      </c>
      <c r="N25" s="25" t="s">
        <v>335</v>
      </c>
      <c r="O25" s="25" t="s">
        <v>180</v>
      </c>
      <c r="P25" s="26">
        <v>134</v>
      </c>
      <c r="Q25" s="25" t="s">
        <v>179</v>
      </c>
      <c r="R25" s="25" t="s">
        <v>256</v>
      </c>
      <c r="S25" s="25" t="s">
        <v>177</v>
      </c>
      <c r="T25" s="25" t="s">
        <v>176</v>
      </c>
      <c r="U25" s="25" t="s">
        <v>175</v>
      </c>
      <c r="V25" s="32" t="s">
        <v>1737</v>
      </c>
    </row>
    <row r="26" spans="1:22" x14ac:dyDescent="0.2">
      <c r="A26" s="28"/>
      <c r="B26" s="25" t="s">
        <v>488</v>
      </c>
      <c r="C26" s="25">
        <v>14096062</v>
      </c>
      <c r="D26" s="25" t="s">
        <v>460</v>
      </c>
      <c r="E26" s="25" t="s">
        <v>185</v>
      </c>
      <c r="F26" s="25" t="s">
        <v>487</v>
      </c>
      <c r="G26" s="25" t="s">
        <v>183</v>
      </c>
      <c r="H26" s="25" t="s">
        <v>258</v>
      </c>
      <c r="I26" s="27">
        <v>43740</v>
      </c>
      <c r="K26" s="27">
        <v>43979</v>
      </c>
      <c r="L26" s="26">
        <v>-218776</v>
      </c>
      <c r="M26" s="25">
        <v>2000324562</v>
      </c>
      <c r="N26" s="25" t="s">
        <v>486</v>
      </c>
      <c r="O26" s="25" t="s">
        <v>180</v>
      </c>
      <c r="P26" s="26">
        <v>134</v>
      </c>
      <c r="Q26" s="25" t="s">
        <v>179</v>
      </c>
      <c r="R26" s="25" t="s">
        <v>256</v>
      </c>
      <c r="S26" s="25" t="s">
        <v>177</v>
      </c>
      <c r="T26" s="25" t="s">
        <v>176</v>
      </c>
      <c r="U26" s="25" t="s">
        <v>175</v>
      </c>
      <c r="V26" s="32" t="s">
        <v>1737</v>
      </c>
    </row>
    <row r="27" spans="1:22" x14ac:dyDescent="0.2">
      <c r="A27" s="28"/>
      <c r="B27" s="25" t="s">
        <v>485</v>
      </c>
      <c r="C27" s="25">
        <v>14100131</v>
      </c>
      <c r="D27" s="25" t="s">
        <v>460</v>
      </c>
      <c r="E27" s="25" t="s">
        <v>185</v>
      </c>
      <c r="F27" s="25" t="s">
        <v>484</v>
      </c>
      <c r="G27" s="25" t="s">
        <v>183</v>
      </c>
      <c r="H27" s="25" t="s">
        <v>258</v>
      </c>
      <c r="I27" s="27">
        <v>43746</v>
      </c>
      <c r="K27" s="27">
        <v>43979</v>
      </c>
      <c r="L27" s="26">
        <v>-54400</v>
      </c>
      <c r="M27" s="25">
        <v>2000324562</v>
      </c>
      <c r="N27" s="25" t="s">
        <v>393</v>
      </c>
      <c r="O27" s="25" t="s">
        <v>180</v>
      </c>
      <c r="P27" s="26">
        <v>134</v>
      </c>
      <c r="Q27" s="25" t="s">
        <v>179</v>
      </c>
      <c r="R27" s="25" t="s">
        <v>256</v>
      </c>
      <c r="S27" s="25" t="s">
        <v>177</v>
      </c>
      <c r="T27" s="25" t="s">
        <v>176</v>
      </c>
      <c r="U27" s="25" t="s">
        <v>175</v>
      </c>
      <c r="V27" s="32" t="s">
        <v>1737</v>
      </c>
    </row>
    <row r="28" spans="1:22" x14ac:dyDescent="0.2">
      <c r="A28" s="28"/>
      <c r="B28" s="25" t="s">
        <v>483</v>
      </c>
      <c r="C28" s="25">
        <v>14101119</v>
      </c>
      <c r="D28" s="25" t="s">
        <v>460</v>
      </c>
      <c r="E28" s="25" t="s">
        <v>185</v>
      </c>
      <c r="F28" s="25" t="s">
        <v>482</v>
      </c>
      <c r="G28" s="25" t="s">
        <v>183</v>
      </c>
      <c r="H28" s="25" t="s">
        <v>258</v>
      </c>
      <c r="I28" s="27">
        <v>43746</v>
      </c>
      <c r="K28" s="27">
        <v>43979</v>
      </c>
      <c r="L28" s="26">
        <v>-54400</v>
      </c>
      <c r="M28" s="25">
        <v>2000324562</v>
      </c>
      <c r="N28" s="25" t="s">
        <v>481</v>
      </c>
      <c r="O28" s="25" t="s">
        <v>180</v>
      </c>
      <c r="P28" s="26">
        <v>134</v>
      </c>
      <c r="Q28" s="25" t="s">
        <v>179</v>
      </c>
      <c r="R28" s="25" t="s">
        <v>256</v>
      </c>
      <c r="S28" s="25" t="s">
        <v>177</v>
      </c>
      <c r="T28" s="25" t="s">
        <v>176</v>
      </c>
      <c r="U28" s="25" t="s">
        <v>175</v>
      </c>
      <c r="V28" s="32" t="s">
        <v>1737</v>
      </c>
    </row>
    <row r="29" spans="1:22" x14ac:dyDescent="0.2">
      <c r="A29" s="28"/>
      <c r="B29" s="25" t="s">
        <v>480</v>
      </c>
      <c r="C29" s="25">
        <v>14101507</v>
      </c>
      <c r="D29" s="25" t="s">
        <v>460</v>
      </c>
      <c r="E29" s="25" t="s">
        <v>185</v>
      </c>
      <c r="F29" s="25" t="s">
        <v>479</v>
      </c>
      <c r="G29" s="25" t="s">
        <v>183</v>
      </c>
      <c r="H29" s="25" t="s">
        <v>258</v>
      </c>
      <c r="I29" s="27">
        <v>43746</v>
      </c>
      <c r="K29" s="27">
        <v>43979</v>
      </c>
      <c r="L29" s="26">
        <v>-284668</v>
      </c>
      <c r="M29" s="25">
        <v>2000324562</v>
      </c>
      <c r="N29" s="25" t="s">
        <v>478</v>
      </c>
      <c r="O29" s="25" t="s">
        <v>180</v>
      </c>
      <c r="P29" s="26">
        <v>134</v>
      </c>
      <c r="Q29" s="25" t="s">
        <v>179</v>
      </c>
      <c r="R29" s="25" t="s">
        <v>256</v>
      </c>
      <c r="S29" s="25" t="s">
        <v>177</v>
      </c>
      <c r="T29" s="25" t="s">
        <v>176</v>
      </c>
      <c r="U29" s="25" t="s">
        <v>175</v>
      </c>
      <c r="V29" s="32" t="s">
        <v>1737</v>
      </c>
    </row>
    <row r="30" spans="1:22" x14ac:dyDescent="0.2">
      <c r="A30" s="28"/>
      <c r="B30" s="25" t="s">
        <v>477</v>
      </c>
      <c r="C30" s="25">
        <v>14103682</v>
      </c>
      <c r="D30" s="25" t="s">
        <v>460</v>
      </c>
      <c r="E30" s="25" t="s">
        <v>185</v>
      </c>
      <c r="F30" s="25" t="s">
        <v>476</v>
      </c>
      <c r="G30" s="25" t="s">
        <v>183</v>
      </c>
      <c r="H30" s="25" t="s">
        <v>258</v>
      </c>
      <c r="I30" s="27">
        <v>43779</v>
      </c>
      <c r="K30" s="27">
        <v>43979</v>
      </c>
      <c r="L30" s="26">
        <v>-47800</v>
      </c>
      <c r="M30" s="25">
        <v>2000324562</v>
      </c>
      <c r="N30" s="25" t="s">
        <v>475</v>
      </c>
      <c r="O30" s="25" t="s">
        <v>180</v>
      </c>
      <c r="P30" s="26">
        <v>134</v>
      </c>
      <c r="Q30" s="25" t="s">
        <v>179</v>
      </c>
      <c r="R30" s="25" t="s">
        <v>256</v>
      </c>
      <c r="S30" s="25" t="s">
        <v>177</v>
      </c>
      <c r="T30" s="25" t="s">
        <v>176</v>
      </c>
      <c r="U30" s="25" t="s">
        <v>175</v>
      </c>
      <c r="V30" s="32" t="s">
        <v>1737</v>
      </c>
    </row>
    <row r="31" spans="1:22" x14ac:dyDescent="0.2">
      <c r="A31" s="28"/>
      <c r="B31" s="25" t="s">
        <v>474</v>
      </c>
      <c r="C31" s="25">
        <v>14106065</v>
      </c>
      <c r="D31" s="25" t="s">
        <v>460</v>
      </c>
      <c r="E31" s="25" t="s">
        <v>185</v>
      </c>
      <c r="F31" s="25" t="s">
        <v>473</v>
      </c>
      <c r="G31" s="25" t="s">
        <v>183</v>
      </c>
      <c r="H31" s="25" t="s">
        <v>258</v>
      </c>
      <c r="I31" s="27">
        <v>43750</v>
      </c>
      <c r="K31" s="27">
        <v>43979</v>
      </c>
      <c r="L31" s="26">
        <v>-22600</v>
      </c>
      <c r="M31" s="25">
        <v>2000324562</v>
      </c>
      <c r="N31" s="25" t="s">
        <v>335</v>
      </c>
      <c r="O31" s="25" t="s">
        <v>180</v>
      </c>
      <c r="P31" s="26">
        <v>134</v>
      </c>
      <c r="Q31" s="25" t="s">
        <v>179</v>
      </c>
      <c r="R31" s="25" t="s">
        <v>256</v>
      </c>
      <c r="S31" s="25" t="s">
        <v>177</v>
      </c>
      <c r="T31" s="25" t="s">
        <v>176</v>
      </c>
      <c r="U31" s="25" t="s">
        <v>175</v>
      </c>
      <c r="V31" s="32" t="s">
        <v>1737</v>
      </c>
    </row>
    <row r="32" spans="1:22" x14ac:dyDescent="0.2">
      <c r="A32" s="28"/>
      <c r="B32" s="25" t="s">
        <v>472</v>
      </c>
      <c r="C32" s="25">
        <v>14106070</v>
      </c>
      <c r="D32" s="25" t="s">
        <v>460</v>
      </c>
      <c r="E32" s="25" t="s">
        <v>185</v>
      </c>
      <c r="F32" s="25" t="s">
        <v>471</v>
      </c>
      <c r="G32" s="25" t="s">
        <v>183</v>
      </c>
      <c r="H32" s="25" t="s">
        <v>258</v>
      </c>
      <c r="I32" s="27">
        <v>43750</v>
      </c>
      <c r="K32" s="27">
        <v>43979</v>
      </c>
      <c r="L32" s="26">
        <v>-31600</v>
      </c>
      <c r="M32" s="25">
        <v>2000324562</v>
      </c>
      <c r="N32" s="25" t="s">
        <v>335</v>
      </c>
      <c r="O32" s="25" t="s">
        <v>180</v>
      </c>
      <c r="P32" s="26">
        <v>134</v>
      </c>
      <c r="Q32" s="25" t="s">
        <v>179</v>
      </c>
      <c r="R32" s="25" t="s">
        <v>256</v>
      </c>
      <c r="S32" s="25" t="s">
        <v>177</v>
      </c>
      <c r="T32" s="25" t="s">
        <v>176</v>
      </c>
      <c r="U32" s="25" t="s">
        <v>175</v>
      </c>
      <c r="V32" s="32" t="s">
        <v>1737</v>
      </c>
    </row>
    <row r="33" spans="1:22" x14ac:dyDescent="0.2">
      <c r="A33" s="28"/>
      <c r="B33" s="25" t="s">
        <v>470</v>
      </c>
      <c r="C33" s="25">
        <v>14109270</v>
      </c>
      <c r="D33" s="25" t="s">
        <v>460</v>
      </c>
      <c r="E33" s="25" t="s">
        <v>185</v>
      </c>
      <c r="F33" s="25" t="s">
        <v>469</v>
      </c>
      <c r="G33" s="25" t="s">
        <v>183</v>
      </c>
      <c r="H33" s="25" t="s">
        <v>258</v>
      </c>
      <c r="I33" s="27">
        <v>43754</v>
      </c>
      <c r="K33" s="27">
        <v>43979</v>
      </c>
      <c r="L33" s="26">
        <v>-55640</v>
      </c>
      <c r="M33" s="25">
        <v>2000324562</v>
      </c>
      <c r="N33" s="25" t="s">
        <v>344</v>
      </c>
      <c r="O33" s="25" t="s">
        <v>180</v>
      </c>
      <c r="P33" s="26">
        <v>134</v>
      </c>
      <c r="Q33" s="25" t="s">
        <v>179</v>
      </c>
      <c r="R33" s="25" t="s">
        <v>256</v>
      </c>
      <c r="S33" s="25" t="s">
        <v>177</v>
      </c>
      <c r="T33" s="25" t="s">
        <v>176</v>
      </c>
      <c r="U33" s="25" t="s">
        <v>175</v>
      </c>
      <c r="V33" s="32" t="s">
        <v>1737</v>
      </c>
    </row>
    <row r="34" spans="1:22" x14ac:dyDescent="0.2">
      <c r="A34" s="28"/>
      <c r="B34" s="25" t="s">
        <v>468</v>
      </c>
      <c r="C34" s="25">
        <v>14116024</v>
      </c>
      <c r="D34" s="25" t="s">
        <v>460</v>
      </c>
      <c r="E34" s="25" t="s">
        <v>351</v>
      </c>
      <c r="F34" s="25" t="s">
        <v>467</v>
      </c>
      <c r="G34" s="25" t="s">
        <v>183</v>
      </c>
      <c r="H34" s="25" t="s">
        <v>219</v>
      </c>
      <c r="I34" s="27">
        <v>43761</v>
      </c>
      <c r="K34" s="27">
        <v>43979</v>
      </c>
      <c r="L34" s="26">
        <v>-35100</v>
      </c>
      <c r="M34" s="25">
        <v>2000324562</v>
      </c>
      <c r="N34" s="25" t="s">
        <v>327</v>
      </c>
      <c r="O34" s="25" t="s">
        <v>180</v>
      </c>
      <c r="P34" s="26">
        <v>134</v>
      </c>
      <c r="Q34" s="25" t="s">
        <v>179</v>
      </c>
      <c r="R34" s="25" t="s">
        <v>256</v>
      </c>
      <c r="S34" s="25" t="s">
        <v>177</v>
      </c>
      <c r="T34" s="25" t="s">
        <v>176</v>
      </c>
      <c r="U34" s="25" t="s">
        <v>175</v>
      </c>
      <c r="V34" s="32" t="s">
        <v>1737</v>
      </c>
    </row>
    <row r="35" spans="1:22" x14ac:dyDescent="0.2">
      <c r="A35" s="28"/>
      <c r="B35" s="25" t="s">
        <v>466</v>
      </c>
      <c r="C35" s="25">
        <v>14117332</v>
      </c>
      <c r="D35" s="25" t="s">
        <v>460</v>
      </c>
      <c r="E35" s="25" t="s">
        <v>185</v>
      </c>
      <c r="F35" s="25" t="s">
        <v>465</v>
      </c>
      <c r="G35" s="25" t="s">
        <v>183</v>
      </c>
      <c r="H35" s="25" t="s">
        <v>219</v>
      </c>
      <c r="I35" s="27">
        <v>43761</v>
      </c>
      <c r="K35" s="27">
        <v>43979</v>
      </c>
      <c r="L35" s="26">
        <v>-54400</v>
      </c>
      <c r="M35" s="25">
        <v>2000324562</v>
      </c>
      <c r="N35" s="25" t="s">
        <v>464</v>
      </c>
      <c r="O35" s="25" t="s">
        <v>180</v>
      </c>
      <c r="P35" s="26">
        <v>134</v>
      </c>
      <c r="Q35" s="25" t="s">
        <v>179</v>
      </c>
      <c r="R35" s="25" t="s">
        <v>256</v>
      </c>
      <c r="S35" s="25" t="s">
        <v>177</v>
      </c>
      <c r="T35" s="25" t="s">
        <v>176</v>
      </c>
      <c r="U35" s="25" t="s">
        <v>175</v>
      </c>
      <c r="V35" s="32" t="s">
        <v>1737</v>
      </c>
    </row>
    <row r="36" spans="1:22" x14ac:dyDescent="0.2">
      <c r="A36" s="28"/>
      <c r="B36" s="25" t="s">
        <v>463</v>
      </c>
      <c r="C36" s="25">
        <v>14117670</v>
      </c>
      <c r="D36" s="25" t="s">
        <v>460</v>
      </c>
      <c r="E36" s="25" t="s">
        <v>185</v>
      </c>
      <c r="F36" s="25" t="s">
        <v>462</v>
      </c>
      <c r="G36" s="25" t="s">
        <v>183</v>
      </c>
      <c r="H36" s="25" t="s">
        <v>258</v>
      </c>
      <c r="I36" s="27">
        <v>43762</v>
      </c>
      <c r="K36" s="27">
        <v>43979</v>
      </c>
      <c r="L36" s="26">
        <v>-467100</v>
      </c>
      <c r="M36" s="25">
        <v>2000324562</v>
      </c>
      <c r="N36" s="25" t="s">
        <v>335</v>
      </c>
      <c r="O36" s="25" t="s">
        <v>180</v>
      </c>
      <c r="P36" s="26">
        <v>134</v>
      </c>
      <c r="Q36" s="25" t="s">
        <v>179</v>
      </c>
      <c r="R36" s="25" t="s">
        <v>256</v>
      </c>
      <c r="S36" s="25" t="s">
        <v>177</v>
      </c>
      <c r="T36" s="25" t="s">
        <v>176</v>
      </c>
      <c r="U36" s="25" t="s">
        <v>175</v>
      </c>
      <c r="V36" s="32" t="s">
        <v>1737</v>
      </c>
    </row>
    <row r="37" spans="1:22" x14ac:dyDescent="0.2">
      <c r="A37" s="28"/>
      <c r="B37" s="25" t="s">
        <v>461</v>
      </c>
      <c r="C37" s="25">
        <v>14121486</v>
      </c>
      <c r="D37" s="25" t="s">
        <v>460</v>
      </c>
      <c r="E37" s="25" t="s">
        <v>351</v>
      </c>
      <c r="F37" s="25" t="s">
        <v>459</v>
      </c>
      <c r="G37" s="25" t="s">
        <v>183</v>
      </c>
      <c r="H37" s="25" t="s">
        <v>219</v>
      </c>
      <c r="I37" s="27">
        <v>43766</v>
      </c>
      <c r="K37" s="27">
        <v>43979</v>
      </c>
      <c r="L37" s="26">
        <v>-33200</v>
      </c>
      <c r="M37" s="25">
        <v>2000324562</v>
      </c>
      <c r="N37" s="25" t="s">
        <v>327</v>
      </c>
      <c r="O37" s="25" t="s">
        <v>180</v>
      </c>
      <c r="P37" s="26">
        <v>134</v>
      </c>
      <c r="Q37" s="25" t="s">
        <v>179</v>
      </c>
      <c r="R37" s="25" t="s">
        <v>256</v>
      </c>
      <c r="S37" s="25" t="s">
        <v>177</v>
      </c>
      <c r="T37" s="25" t="s">
        <v>176</v>
      </c>
      <c r="U37" s="25" t="s">
        <v>175</v>
      </c>
      <c r="V37" s="32" t="s">
        <v>1737</v>
      </c>
    </row>
    <row r="38" spans="1:22" x14ac:dyDescent="0.2">
      <c r="A38" s="28"/>
      <c r="B38" s="25" t="s">
        <v>458</v>
      </c>
      <c r="C38" s="25">
        <v>14127066</v>
      </c>
      <c r="D38" s="25" t="s">
        <v>457</v>
      </c>
      <c r="E38" s="25" t="s">
        <v>185</v>
      </c>
      <c r="F38" s="25" t="s">
        <v>456</v>
      </c>
      <c r="G38" s="25" t="s">
        <v>183</v>
      </c>
      <c r="H38" s="25" t="s">
        <v>455</v>
      </c>
      <c r="I38" s="27">
        <v>43769</v>
      </c>
      <c r="K38" s="27">
        <v>43966</v>
      </c>
      <c r="L38" s="26">
        <v>-328229</v>
      </c>
      <c r="M38" s="25">
        <v>2000324562</v>
      </c>
      <c r="N38" s="25" t="s">
        <v>454</v>
      </c>
      <c r="O38" s="25" t="s">
        <v>180</v>
      </c>
      <c r="P38" s="26">
        <v>134</v>
      </c>
      <c r="Q38" s="25" t="s">
        <v>179</v>
      </c>
      <c r="R38" s="25" t="s">
        <v>453</v>
      </c>
      <c r="S38" s="25" t="s">
        <v>177</v>
      </c>
      <c r="T38" s="25" t="s">
        <v>176</v>
      </c>
      <c r="U38" s="25" t="s">
        <v>175</v>
      </c>
      <c r="V38" s="32" t="s">
        <v>1737</v>
      </c>
    </row>
    <row r="39" spans="1:22" x14ac:dyDescent="0.2">
      <c r="A39" s="28"/>
      <c r="B39" s="25" t="s">
        <v>452</v>
      </c>
      <c r="C39" s="25">
        <v>14109476</v>
      </c>
      <c r="D39" s="25" t="s">
        <v>451</v>
      </c>
      <c r="E39" s="25" t="s">
        <v>185</v>
      </c>
      <c r="F39" s="25" t="s">
        <v>450</v>
      </c>
      <c r="G39" s="25" t="s">
        <v>183</v>
      </c>
      <c r="H39" s="25" t="s">
        <v>449</v>
      </c>
      <c r="I39" s="27">
        <v>43755</v>
      </c>
      <c r="K39" s="27">
        <v>43977</v>
      </c>
      <c r="L39" s="26">
        <v>-161700</v>
      </c>
      <c r="M39" s="25">
        <v>2000324562</v>
      </c>
      <c r="N39" s="25" t="s">
        <v>448</v>
      </c>
      <c r="O39" s="25" t="s">
        <v>180</v>
      </c>
      <c r="P39" s="26">
        <v>134</v>
      </c>
      <c r="Q39" s="25" t="s">
        <v>179</v>
      </c>
      <c r="R39" s="25" t="s">
        <v>447</v>
      </c>
      <c r="S39" s="25" t="s">
        <v>177</v>
      </c>
      <c r="T39" s="25" t="s">
        <v>176</v>
      </c>
      <c r="U39" s="25" t="s">
        <v>175</v>
      </c>
      <c r="V39" s="32" t="s">
        <v>1737</v>
      </c>
    </row>
    <row r="40" spans="1:22" x14ac:dyDescent="0.2">
      <c r="A40" s="28"/>
      <c r="B40" s="25" t="s">
        <v>446</v>
      </c>
      <c r="C40" s="25">
        <v>14094935</v>
      </c>
      <c r="D40" s="25" t="s">
        <v>445</v>
      </c>
      <c r="E40" s="25" t="s">
        <v>185</v>
      </c>
      <c r="F40" s="25" t="s">
        <v>444</v>
      </c>
      <c r="G40" s="25" t="s">
        <v>183</v>
      </c>
      <c r="H40" s="25" t="s">
        <v>443</v>
      </c>
      <c r="I40" s="27">
        <v>43740</v>
      </c>
      <c r="K40" s="27">
        <v>43969</v>
      </c>
      <c r="L40" s="26">
        <v>-188794</v>
      </c>
      <c r="M40" s="25">
        <v>2000324562</v>
      </c>
      <c r="N40" s="25" t="s">
        <v>442</v>
      </c>
      <c r="O40" s="25" t="s">
        <v>180</v>
      </c>
      <c r="P40" s="26">
        <v>134</v>
      </c>
      <c r="Q40" s="25" t="s">
        <v>179</v>
      </c>
      <c r="R40" s="25" t="s">
        <v>441</v>
      </c>
      <c r="S40" s="25" t="s">
        <v>177</v>
      </c>
      <c r="T40" s="25" t="s">
        <v>176</v>
      </c>
      <c r="U40" s="25" t="s">
        <v>175</v>
      </c>
      <c r="V40" s="32" t="s">
        <v>1737</v>
      </c>
    </row>
    <row r="41" spans="1:22" x14ac:dyDescent="0.2">
      <c r="A41" s="28"/>
      <c r="B41" s="25" t="s">
        <v>440</v>
      </c>
      <c r="C41" s="25">
        <v>14144255</v>
      </c>
      <c r="D41" s="25" t="s">
        <v>439</v>
      </c>
      <c r="E41" s="25" t="s">
        <v>185</v>
      </c>
      <c r="F41" s="25" t="s">
        <v>438</v>
      </c>
      <c r="G41" s="25" t="s">
        <v>183</v>
      </c>
      <c r="H41" s="25" t="s">
        <v>437</v>
      </c>
      <c r="I41" s="27">
        <v>43787</v>
      </c>
      <c r="K41" s="27">
        <v>43979</v>
      </c>
      <c r="L41" s="26">
        <v>-367885</v>
      </c>
      <c r="M41" s="25">
        <v>2000324562</v>
      </c>
      <c r="N41" s="25" t="s">
        <v>436</v>
      </c>
      <c r="O41" s="25" t="s">
        <v>180</v>
      </c>
      <c r="P41" s="26">
        <v>134</v>
      </c>
      <c r="Q41" s="25" t="s">
        <v>179</v>
      </c>
      <c r="R41" s="25" t="s">
        <v>178</v>
      </c>
      <c r="S41" s="25" t="s">
        <v>177</v>
      </c>
      <c r="T41" s="25" t="s">
        <v>176</v>
      </c>
      <c r="U41" s="25" t="s">
        <v>175</v>
      </c>
      <c r="V41" s="32" t="s">
        <v>1737</v>
      </c>
    </row>
    <row r="42" spans="1:22" x14ac:dyDescent="0.2">
      <c r="A42" s="28"/>
      <c r="B42" s="25" t="s">
        <v>435</v>
      </c>
      <c r="C42" s="25">
        <v>14152100</v>
      </c>
      <c r="D42" s="25" t="s">
        <v>434</v>
      </c>
      <c r="E42" s="25" t="s">
        <v>185</v>
      </c>
      <c r="F42" s="25" t="s">
        <v>433</v>
      </c>
      <c r="G42" s="25" t="s">
        <v>183</v>
      </c>
      <c r="H42" s="25" t="s">
        <v>432</v>
      </c>
      <c r="I42" s="27">
        <v>43794</v>
      </c>
      <c r="K42" s="27">
        <v>43969</v>
      </c>
      <c r="L42" s="26">
        <v>-59366</v>
      </c>
      <c r="M42" s="25">
        <v>2000324562</v>
      </c>
      <c r="N42" s="25" t="s">
        <v>389</v>
      </c>
      <c r="O42" s="25" t="s">
        <v>180</v>
      </c>
      <c r="P42" s="26">
        <v>134</v>
      </c>
      <c r="Q42" s="25" t="s">
        <v>179</v>
      </c>
      <c r="R42" s="25" t="s">
        <v>244</v>
      </c>
      <c r="S42" s="25" t="s">
        <v>177</v>
      </c>
      <c r="T42" s="25" t="s">
        <v>176</v>
      </c>
      <c r="U42" s="25" t="s">
        <v>175</v>
      </c>
      <c r="V42" s="32" t="s">
        <v>1737</v>
      </c>
    </row>
    <row r="43" spans="1:22" x14ac:dyDescent="0.2">
      <c r="A43" s="28"/>
      <c r="B43" s="25" t="s">
        <v>431</v>
      </c>
      <c r="C43" s="25">
        <v>14157405</v>
      </c>
      <c r="D43" s="25" t="s">
        <v>430</v>
      </c>
      <c r="E43" s="25" t="s">
        <v>312</v>
      </c>
      <c r="F43" s="25" t="s">
        <v>429</v>
      </c>
      <c r="G43" s="25" t="s">
        <v>183</v>
      </c>
      <c r="H43" s="25" t="s">
        <v>418</v>
      </c>
      <c r="I43" s="27">
        <v>43797</v>
      </c>
      <c r="K43" s="27">
        <v>43956</v>
      </c>
      <c r="L43" s="26">
        <v>-622827</v>
      </c>
      <c r="M43" s="25">
        <v>2000324562</v>
      </c>
      <c r="N43" s="25" t="s">
        <v>428</v>
      </c>
      <c r="O43" s="25" t="s">
        <v>180</v>
      </c>
      <c r="P43" s="26">
        <v>134</v>
      </c>
      <c r="Q43" s="25" t="s">
        <v>179</v>
      </c>
      <c r="R43" s="25" t="s">
        <v>427</v>
      </c>
      <c r="S43" s="25" t="s">
        <v>177</v>
      </c>
      <c r="T43" s="25" t="s">
        <v>176</v>
      </c>
      <c r="U43" s="25" t="s">
        <v>175</v>
      </c>
      <c r="V43" s="32" t="s">
        <v>1737</v>
      </c>
    </row>
    <row r="44" spans="1:22" x14ac:dyDescent="0.2">
      <c r="A44" s="28"/>
      <c r="B44" s="25" t="s">
        <v>426</v>
      </c>
      <c r="C44" s="25">
        <v>14158162</v>
      </c>
      <c r="D44" s="25" t="s">
        <v>425</v>
      </c>
      <c r="E44" s="25" t="s">
        <v>185</v>
      </c>
      <c r="F44" s="25" t="s">
        <v>424</v>
      </c>
      <c r="G44" s="25" t="s">
        <v>183</v>
      </c>
      <c r="H44" s="25" t="s">
        <v>423</v>
      </c>
      <c r="I44" s="27">
        <v>43798</v>
      </c>
      <c r="K44" s="27">
        <v>43969</v>
      </c>
      <c r="L44" s="26">
        <v>-71500</v>
      </c>
      <c r="M44" s="25">
        <v>2000324562</v>
      </c>
      <c r="N44" s="25" t="s">
        <v>422</v>
      </c>
      <c r="O44" s="25" t="s">
        <v>180</v>
      </c>
      <c r="P44" s="26">
        <v>134</v>
      </c>
      <c r="Q44" s="25" t="s">
        <v>179</v>
      </c>
      <c r="R44" s="25" t="s">
        <v>421</v>
      </c>
      <c r="S44" s="25" t="s">
        <v>177</v>
      </c>
      <c r="T44" s="25" t="s">
        <v>176</v>
      </c>
      <c r="U44" s="25" t="s">
        <v>175</v>
      </c>
      <c r="V44" s="32" t="s">
        <v>1737</v>
      </c>
    </row>
    <row r="45" spans="1:22" x14ac:dyDescent="0.2">
      <c r="A45" s="28"/>
      <c r="B45" s="25" t="s">
        <v>255</v>
      </c>
      <c r="C45" s="25">
        <v>14189199</v>
      </c>
      <c r="D45" s="25" t="s">
        <v>254</v>
      </c>
      <c r="E45" s="25" t="s">
        <v>185</v>
      </c>
      <c r="F45" s="25" t="s">
        <v>253</v>
      </c>
      <c r="G45" s="25" t="s">
        <v>183</v>
      </c>
      <c r="H45" s="25" t="s">
        <v>252</v>
      </c>
      <c r="I45" s="27">
        <v>43857</v>
      </c>
      <c r="K45" s="27">
        <v>43962</v>
      </c>
      <c r="L45" s="26">
        <v>-69888</v>
      </c>
      <c r="M45" s="25">
        <v>2000324562</v>
      </c>
      <c r="N45" s="25" t="s">
        <v>416</v>
      </c>
      <c r="O45" s="25" t="s">
        <v>180</v>
      </c>
      <c r="P45" s="26">
        <v>87</v>
      </c>
      <c r="Q45" s="25" t="s">
        <v>179</v>
      </c>
      <c r="R45" s="25" t="s">
        <v>250</v>
      </c>
      <c r="S45" s="25" t="s">
        <v>177</v>
      </c>
      <c r="T45" s="25" t="s">
        <v>176</v>
      </c>
      <c r="U45" s="25" t="s">
        <v>175</v>
      </c>
      <c r="V45" s="32" t="s">
        <v>1737</v>
      </c>
    </row>
    <row r="46" spans="1:22" x14ac:dyDescent="0.2">
      <c r="A46" s="28"/>
      <c r="B46" s="25" t="s">
        <v>415</v>
      </c>
      <c r="C46" s="25">
        <v>14190539</v>
      </c>
      <c r="D46" s="25" t="s">
        <v>414</v>
      </c>
      <c r="E46" s="25" t="s">
        <v>185</v>
      </c>
      <c r="F46" s="25" t="s">
        <v>413</v>
      </c>
      <c r="G46" s="25" t="s">
        <v>183</v>
      </c>
      <c r="H46" s="25" t="s">
        <v>412</v>
      </c>
      <c r="I46" s="27">
        <v>43857</v>
      </c>
      <c r="K46" s="27">
        <v>43962</v>
      </c>
      <c r="L46" s="26">
        <v>-550211</v>
      </c>
      <c r="M46" s="25">
        <v>2000324562</v>
      </c>
      <c r="N46" s="25" t="s">
        <v>411</v>
      </c>
      <c r="O46" s="25" t="s">
        <v>180</v>
      </c>
      <c r="P46" s="26">
        <v>87</v>
      </c>
      <c r="Q46" s="25" t="s">
        <v>179</v>
      </c>
      <c r="R46" s="25" t="s">
        <v>238</v>
      </c>
      <c r="S46" s="25" t="s">
        <v>177</v>
      </c>
      <c r="T46" s="25" t="s">
        <v>176</v>
      </c>
      <c r="U46" s="25" t="s">
        <v>175</v>
      </c>
      <c r="V46" s="32" t="s">
        <v>1737</v>
      </c>
    </row>
    <row r="47" spans="1:22" x14ac:dyDescent="0.2">
      <c r="A47" s="28"/>
      <c r="B47" s="25" t="s">
        <v>410</v>
      </c>
      <c r="C47" s="25">
        <v>14145952</v>
      </c>
      <c r="D47" s="25" t="s">
        <v>395</v>
      </c>
      <c r="E47" s="25" t="s">
        <v>329</v>
      </c>
      <c r="F47" s="25" t="s">
        <v>409</v>
      </c>
      <c r="G47" s="25" t="s">
        <v>183</v>
      </c>
      <c r="H47" s="25" t="s">
        <v>310</v>
      </c>
      <c r="I47" s="27">
        <v>43857</v>
      </c>
      <c r="K47" s="27">
        <v>43979</v>
      </c>
      <c r="L47" s="26">
        <v>-54852</v>
      </c>
      <c r="M47" s="25">
        <v>2000324562</v>
      </c>
      <c r="N47" s="25" t="s">
        <v>327</v>
      </c>
      <c r="O47" s="25" t="s">
        <v>180</v>
      </c>
      <c r="P47" s="26">
        <v>87</v>
      </c>
      <c r="Q47" s="25" t="s">
        <v>179</v>
      </c>
      <c r="R47" s="25" t="s">
        <v>370</v>
      </c>
      <c r="S47" s="25" t="s">
        <v>177</v>
      </c>
      <c r="T47" s="25" t="s">
        <v>176</v>
      </c>
      <c r="U47" s="25" t="s">
        <v>175</v>
      </c>
      <c r="V47" s="32" t="s">
        <v>1737</v>
      </c>
    </row>
    <row r="48" spans="1:22" x14ac:dyDescent="0.2">
      <c r="A48" s="28"/>
      <c r="B48" s="25" t="s">
        <v>408</v>
      </c>
      <c r="C48" s="25">
        <v>14161328</v>
      </c>
      <c r="D48" s="25" t="s">
        <v>395</v>
      </c>
      <c r="E48" s="25" t="s">
        <v>312</v>
      </c>
      <c r="F48" s="25" t="s">
        <v>407</v>
      </c>
      <c r="G48" s="25" t="s">
        <v>183</v>
      </c>
      <c r="H48" s="25" t="s">
        <v>332</v>
      </c>
      <c r="I48" s="27">
        <v>43857</v>
      </c>
      <c r="K48" s="27">
        <v>43979</v>
      </c>
      <c r="L48" s="26">
        <v>-22600</v>
      </c>
      <c r="M48" s="25">
        <v>2000324562</v>
      </c>
      <c r="N48" s="25" t="s">
        <v>344</v>
      </c>
      <c r="O48" s="25" t="s">
        <v>180</v>
      </c>
      <c r="P48" s="26">
        <v>87</v>
      </c>
      <c r="Q48" s="25" t="s">
        <v>179</v>
      </c>
      <c r="R48" s="25" t="s">
        <v>370</v>
      </c>
      <c r="S48" s="25" t="s">
        <v>177</v>
      </c>
      <c r="T48" s="25" t="s">
        <v>176</v>
      </c>
      <c r="U48" s="25" t="s">
        <v>175</v>
      </c>
      <c r="V48" s="32" t="s">
        <v>1737</v>
      </c>
    </row>
    <row r="49" spans="1:22" x14ac:dyDescent="0.2">
      <c r="A49" s="28"/>
      <c r="B49" s="25" t="s">
        <v>406</v>
      </c>
      <c r="C49" s="25">
        <v>14161585</v>
      </c>
      <c r="D49" s="25" t="s">
        <v>395</v>
      </c>
      <c r="E49" s="25" t="s">
        <v>312</v>
      </c>
      <c r="F49" s="25" t="s">
        <v>405</v>
      </c>
      <c r="G49" s="25" t="s">
        <v>183</v>
      </c>
      <c r="H49" s="25" t="s">
        <v>332</v>
      </c>
      <c r="I49" s="27">
        <v>43857</v>
      </c>
      <c r="K49" s="27">
        <v>43979</v>
      </c>
      <c r="L49" s="26">
        <v>-68675</v>
      </c>
      <c r="M49" s="25">
        <v>2000324562</v>
      </c>
      <c r="N49" s="25" t="s">
        <v>404</v>
      </c>
      <c r="O49" s="25" t="s">
        <v>180</v>
      </c>
      <c r="P49" s="26">
        <v>87</v>
      </c>
      <c r="Q49" s="25" t="s">
        <v>179</v>
      </c>
      <c r="R49" s="25" t="s">
        <v>370</v>
      </c>
      <c r="S49" s="25" t="s">
        <v>177</v>
      </c>
      <c r="T49" s="25" t="s">
        <v>176</v>
      </c>
      <c r="U49" s="25" t="s">
        <v>175</v>
      </c>
      <c r="V49" s="32" t="s">
        <v>1737</v>
      </c>
    </row>
    <row r="50" spans="1:22" x14ac:dyDescent="0.2">
      <c r="A50" s="28"/>
      <c r="B50" s="25" t="s">
        <v>403</v>
      </c>
      <c r="C50" s="25">
        <v>14168509</v>
      </c>
      <c r="D50" s="25" t="s">
        <v>395</v>
      </c>
      <c r="E50" s="25" t="s">
        <v>312</v>
      </c>
      <c r="F50" s="25" t="s">
        <v>402</v>
      </c>
      <c r="G50" s="25" t="s">
        <v>183</v>
      </c>
      <c r="H50" s="25" t="s">
        <v>332</v>
      </c>
      <c r="I50" s="27">
        <v>43857</v>
      </c>
      <c r="K50" s="27">
        <v>43979</v>
      </c>
      <c r="L50" s="26">
        <v>-33200</v>
      </c>
      <c r="M50" s="25">
        <v>2000324562</v>
      </c>
      <c r="N50" s="25" t="s">
        <v>338</v>
      </c>
      <c r="O50" s="25" t="s">
        <v>180</v>
      </c>
      <c r="P50" s="26">
        <v>87</v>
      </c>
      <c r="Q50" s="25" t="s">
        <v>179</v>
      </c>
      <c r="R50" s="25" t="s">
        <v>370</v>
      </c>
      <c r="S50" s="25" t="s">
        <v>177</v>
      </c>
      <c r="T50" s="25" t="s">
        <v>176</v>
      </c>
      <c r="U50" s="25" t="s">
        <v>175</v>
      </c>
      <c r="V50" s="32" t="s">
        <v>1737</v>
      </c>
    </row>
    <row r="51" spans="1:22" x14ac:dyDescent="0.2">
      <c r="A51" s="28"/>
      <c r="B51" s="25" t="s">
        <v>401</v>
      </c>
      <c r="C51" s="25">
        <v>14181115</v>
      </c>
      <c r="D51" s="25" t="s">
        <v>395</v>
      </c>
      <c r="E51" s="25" t="s">
        <v>312</v>
      </c>
      <c r="F51" s="25" t="s">
        <v>400</v>
      </c>
      <c r="G51" s="25" t="s">
        <v>183</v>
      </c>
      <c r="H51" s="25" t="s">
        <v>332</v>
      </c>
      <c r="I51" s="27">
        <v>43857</v>
      </c>
      <c r="K51" s="27">
        <v>43979</v>
      </c>
      <c r="L51" s="26">
        <v>-68675</v>
      </c>
      <c r="M51" s="25">
        <v>2000324562</v>
      </c>
      <c r="N51" s="25" t="s">
        <v>393</v>
      </c>
      <c r="O51" s="25" t="s">
        <v>180</v>
      </c>
      <c r="P51" s="26">
        <v>87</v>
      </c>
      <c r="Q51" s="25" t="s">
        <v>179</v>
      </c>
      <c r="R51" s="25" t="s">
        <v>370</v>
      </c>
      <c r="S51" s="25" t="s">
        <v>177</v>
      </c>
      <c r="T51" s="25" t="s">
        <v>176</v>
      </c>
      <c r="U51" s="25" t="s">
        <v>175</v>
      </c>
      <c r="V51" s="32" t="s">
        <v>1737</v>
      </c>
    </row>
    <row r="52" spans="1:22" x14ac:dyDescent="0.2">
      <c r="A52" s="28"/>
      <c r="B52" s="25" t="s">
        <v>399</v>
      </c>
      <c r="C52" s="25">
        <v>14187917</v>
      </c>
      <c r="D52" s="25" t="s">
        <v>395</v>
      </c>
      <c r="E52" s="25" t="s">
        <v>312</v>
      </c>
      <c r="F52" s="25" t="s">
        <v>398</v>
      </c>
      <c r="G52" s="25" t="s">
        <v>183</v>
      </c>
      <c r="H52" s="25" t="s">
        <v>310</v>
      </c>
      <c r="I52" s="27">
        <v>43857</v>
      </c>
      <c r="K52" s="27">
        <v>43979</v>
      </c>
      <c r="L52" s="26">
        <v>-192200</v>
      </c>
      <c r="M52" s="25">
        <v>2000324562</v>
      </c>
      <c r="N52" s="25" t="s">
        <v>397</v>
      </c>
      <c r="O52" s="25" t="s">
        <v>180</v>
      </c>
      <c r="P52" s="26">
        <v>87</v>
      </c>
      <c r="Q52" s="25" t="s">
        <v>179</v>
      </c>
      <c r="R52" s="25" t="s">
        <v>370</v>
      </c>
      <c r="S52" s="25" t="s">
        <v>177</v>
      </c>
      <c r="T52" s="25" t="s">
        <v>176</v>
      </c>
      <c r="U52" s="25" t="s">
        <v>175</v>
      </c>
      <c r="V52" s="32" t="s">
        <v>1737</v>
      </c>
    </row>
    <row r="53" spans="1:22" x14ac:dyDescent="0.2">
      <c r="A53" s="28"/>
      <c r="B53" s="25" t="s">
        <v>396</v>
      </c>
      <c r="C53" s="25">
        <v>14190806</v>
      </c>
      <c r="D53" s="25" t="s">
        <v>395</v>
      </c>
      <c r="E53" s="25" t="s">
        <v>312</v>
      </c>
      <c r="F53" s="25" t="s">
        <v>394</v>
      </c>
      <c r="G53" s="25" t="s">
        <v>183</v>
      </c>
      <c r="H53" s="25" t="s">
        <v>332</v>
      </c>
      <c r="I53" s="27">
        <v>43857</v>
      </c>
      <c r="K53" s="27">
        <v>43979</v>
      </c>
      <c r="L53" s="26">
        <v>-509762</v>
      </c>
      <c r="M53" s="25">
        <v>2000324562</v>
      </c>
      <c r="N53" s="25" t="s">
        <v>393</v>
      </c>
      <c r="O53" s="25" t="s">
        <v>180</v>
      </c>
      <c r="P53" s="26">
        <v>87</v>
      </c>
      <c r="Q53" s="25" t="s">
        <v>179</v>
      </c>
      <c r="R53" s="25" t="s">
        <v>370</v>
      </c>
      <c r="S53" s="25" t="s">
        <v>177</v>
      </c>
      <c r="T53" s="25" t="s">
        <v>176</v>
      </c>
      <c r="U53" s="25" t="s">
        <v>175</v>
      </c>
      <c r="V53" s="32" t="s">
        <v>1737</v>
      </c>
    </row>
    <row r="54" spans="1:22" x14ac:dyDescent="0.2">
      <c r="A54" s="28"/>
      <c r="B54" s="25" t="s">
        <v>392</v>
      </c>
      <c r="C54" s="25">
        <v>14155779</v>
      </c>
      <c r="D54" s="25" t="s">
        <v>387</v>
      </c>
      <c r="E54" s="25" t="s">
        <v>185</v>
      </c>
      <c r="F54" s="25" t="s">
        <v>391</v>
      </c>
      <c r="G54" s="25" t="s">
        <v>183</v>
      </c>
      <c r="H54" s="25" t="s">
        <v>390</v>
      </c>
      <c r="I54" s="27">
        <v>43857</v>
      </c>
      <c r="K54" s="27">
        <v>43952</v>
      </c>
      <c r="L54" s="26">
        <v>-144569</v>
      </c>
      <c r="M54" s="25">
        <v>2000324562</v>
      </c>
      <c r="N54" s="25" t="s">
        <v>389</v>
      </c>
      <c r="O54" s="25" t="s">
        <v>180</v>
      </c>
      <c r="P54" s="26">
        <v>87</v>
      </c>
      <c r="Q54" s="25" t="s">
        <v>179</v>
      </c>
      <c r="R54" s="25" t="s">
        <v>244</v>
      </c>
      <c r="S54" s="25" t="s">
        <v>177</v>
      </c>
      <c r="T54" s="25" t="s">
        <v>176</v>
      </c>
      <c r="U54" s="25" t="s">
        <v>175</v>
      </c>
      <c r="V54" s="32" t="s">
        <v>1737</v>
      </c>
    </row>
    <row r="55" spans="1:22" x14ac:dyDescent="0.2">
      <c r="A55" s="28"/>
      <c r="B55" s="25" t="s">
        <v>388</v>
      </c>
      <c r="C55" s="25">
        <v>14184434</v>
      </c>
      <c r="D55" s="25" t="s">
        <v>387</v>
      </c>
      <c r="E55" s="25" t="s">
        <v>185</v>
      </c>
      <c r="F55" s="25" t="s">
        <v>386</v>
      </c>
      <c r="G55" s="25" t="s">
        <v>183</v>
      </c>
      <c r="H55" s="25" t="s">
        <v>385</v>
      </c>
      <c r="I55" s="27">
        <v>43857</v>
      </c>
      <c r="K55" s="27">
        <v>43952</v>
      </c>
      <c r="L55" s="26">
        <v>-882422</v>
      </c>
      <c r="M55" s="25">
        <v>2000324562</v>
      </c>
      <c r="N55" s="25" t="s">
        <v>384</v>
      </c>
      <c r="O55" s="25" t="s">
        <v>180</v>
      </c>
      <c r="P55" s="26">
        <v>87</v>
      </c>
      <c r="Q55" s="25" t="s">
        <v>179</v>
      </c>
      <c r="R55" s="25" t="s">
        <v>244</v>
      </c>
      <c r="S55" s="25" t="s">
        <v>177</v>
      </c>
      <c r="T55" s="25" t="s">
        <v>176</v>
      </c>
      <c r="U55" s="25" t="s">
        <v>175</v>
      </c>
      <c r="V55" s="32" t="s">
        <v>1737</v>
      </c>
    </row>
    <row r="56" spans="1:22" x14ac:dyDescent="0.2">
      <c r="A56" s="28"/>
      <c r="B56" s="25" t="s">
        <v>383</v>
      </c>
      <c r="C56" s="25">
        <v>14190421</v>
      </c>
      <c r="D56" s="25" t="s">
        <v>382</v>
      </c>
      <c r="E56" s="25" t="s">
        <v>329</v>
      </c>
      <c r="F56" s="25" t="s">
        <v>381</v>
      </c>
      <c r="G56" s="25" t="s">
        <v>183</v>
      </c>
      <c r="H56" s="25" t="s">
        <v>310</v>
      </c>
      <c r="I56" s="27">
        <v>43857</v>
      </c>
      <c r="K56" s="27">
        <v>43979</v>
      </c>
      <c r="L56" s="26">
        <v>-81658</v>
      </c>
      <c r="M56" s="25">
        <v>2000324562</v>
      </c>
      <c r="N56" s="25" t="s">
        <v>327</v>
      </c>
      <c r="O56" s="25" t="s">
        <v>180</v>
      </c>
      <c r="P56" s="26">
        <v>87</v>
      </c>
      <c r="Q56" s="25" t="s">
        <v>179</v>
      </c>
      <c r="R56" s="25" t="s">
        <v>370</v>
      </c>
      <c r="S56" s="25" t="s">
        <v>177</v>
      </c>
      <c r="T56" s="25" t="s">
        <v>176</v>
      </c>
      <c r="U56" s="25" t="s">
        <v>175</v>
      </c>
      <c r="V56" s="32" t="s">
        <v>1737</v>
      </c>
    </row>
    <row r="57" spans="1:22" x14ac:dyDescent="0.2">
      <c r="A57" s="28"/>
      <c r="B57" s="25" t="s">
        <v>380</v>
      </c>
      <c r="C57" s="25">
        <v>14189521</v>
      </c>
      <c r="D57" s="25" t="s">
        <v>379</v>
      </c>
      <c r="E57" s="25" t="s">
        <v>185</v>
      </c>
      <c r="F57" s="25" t="s">
        <v>378</v>
      </c>
      <c r="G57" s="25" t="s">
        <v>183</v>
      </c>
      <c r="H57" s="25" t="s">
        <v>377</v>
      </c>
      <c r="I57" s="27">
        <v>43857</v>
      </c>
      <c r="K57" s="27">
        <v>43955</v>
      </c>
      <c r="L57" s="26">
        <v>-149100</v>
      </c>
      <c r="M57" s="25">
        <v>2000324562</v>
      </c>
      <c r="N57" s="25" t="s">
        <v>376</v>
      </c>
      <c r="O57" s="25" t="s">
        <v>180</v>
      </c>
      <c r="P57" s="26">
        <v>87</v>
      </c>
      <c r="Q57" s="25" t="s">
        <v>179</v>
      </c>
      <c r="R57" s="25" t="s">
        <v>228</v>
      </c>
      <c r="S57" s="25" t="s">
        <v>177</v>
      </c>
      <c r="T57" s="25" t="s">
        <v>176</v>
      </c>
      <c r="U57" s="25" t="s">
        <v>175</v>
      </c>
      <c r="V57" s="32" t="s">
        <v>1737</v>
      </c>
    </row>
    <row r="58" spans="1:22" x14ac:dyDescent="0.2">
      <c r="A58" s="28"/>
      <c r="B58" s="25" t="s">
        <v>375</v>
      </c>
      <c r="C58" s="25">
        <v>14196891</v>
      </c>
      <c r="D58" s="25" t="s">
        <v>374</v>
      </c>
      <c r="E58" s="25" t="s">
        <v>185</v>
      </c>
      <c r="F58" s="25" t="s">
        <v>373</v>
      </c>
      <c r="G58" s="25" t="s">
        <v>183</v>
      </c>
      <c r="H58" s="25" t="s">
        <v>372</v>
      </c>
      <c r="I58" s="27">
        <v>43840</v>
      </c>
      <c r="K58" s="27">
        <v>43979</v>
      </c>
      <c r="L58" s="26">
        <v>-191200</v>
      </c>
      <c r="M58" s="25">
        <v>2000324562</v>
      </c>
      <c r="N58" s="25" t="s">
        <v>371</v>
      </c>
      <c r="O58" s="25" t="s">
        <v>180</v>
      </c>
      <c r="P58" s="26">
        <v>71</v>
      </c>
      <c r="Q58" s="25" t="s">
        <v>179</v>
      </c>
      <c r="R58" s="25" t="s">
        <v>370</v>
      </c>
      <c r="S58" s="25" t="s">
        <v>177</v>
      </c>
      <c r="T58" s="25" t="s">
        <v>176</v>
      </c>
      <c r="U58" s="25" t="s">
        <v>175</v>
      </c>
      <c r="V58" s="32" t="s">
        <v>1737</v>
      </c>
    </row>
    <row r="59" spans="1:22" x14ac:dyDescent="0.2">
      <c r="A59" s="28"/>
      <c r="B59" s="25" t="s">
        <v>369</v>
      </c>
      <c r="C59" s="25">
        <v>14195391</v>
      </c>
      <c r="D59" s="25" t="s">
        <v>360</v>
      </c>
      <c r="E59" s="25" t="s">
        <v>329</v>
      </c>
      <c r="F59" s="25" t="s">
        <v>368</v>
      </c>
      <c r="G59" s="25" t="s">
        <v>183</v>
      </c>
      <c r="H59" s="25" t="s">
        <v>367</v>
      </c>
      <c r="I59" s="27">
        <v>43838</v>
      </c>
      <c r="K59" s="27">
        <v>43969</v>
      </c>
      <c r="L59" s="26">
        <v>-279946</v>
      </c>
      <c r="M59" s="25">
        <v>2000324562</v>
      </c>
      <c r="N59" s="25" t="s">
        <v>366</v>
      </c>
      <c r="O59" s="25" t="s">
        <v>180</v>
      </c>
      <c r="P59" s="26">
        <v>59</v>
      </c>
      <c r="Q59" s="25" t="s">
        <v>179</v>
      </c>
      <c r="R59" s="25" t="s">
        <v>256</v>
      </c>
      <c r="S59" s="25" t="s">
        <v>177</v>
      </c>
      <c r="T59" s="25" t="s">
        <v>176</v>
      </c>
      <c r="U59" s="25" t="s">
        <v>175</v>
      </c>
      <c r="V59" s="32" t="s">
        <v>1737</v>
      </c>
    </row>
    <row r="60" spans="1:22" x14ac:dyDescent="0.2">
      <c r="A60" s="28"/>
      <c r="B60" s="25" t="s">
        <v>365</v>
      </c>
      <c r="C60" s="25">
        <v>14216109</v>
      </c>
      <c r="D60" s="25" t="s">
        <v>360</v>
      </c>
      <c r="E60" s="25" t="s">
        <v>329</v>
      </c>
      <c r="F60" s="25" t="s">
        <v>364</v>
      </c>
      <c r="G60" s="25" t="s">
        <v>183</v>
      </c>
      <c r="H60" s="25" t="s">
        <v>310</v>
      </c>
      <c r="I60" s="27">
        <v>43859</v>
      </c>
      <c r="K60" s="27">
        <v>43969</v>
      </c>
      <c r="L60" s="26">
        <v>-85319</v>
      </c>
      <c r="M60" s="25">
        <v>2000324562</v>
      </c>
      <c r="N60" s="25" t="s">
        <v>327</v>
      </c>
      <c r="O60" s="25" t="s">
        <v>180</v>
      </c>
      <c r="P60" s="26">
        <v>59</v>
      </c>
      <c r="Q60" s="25" t="s">
        <v>179</v>
      </c>
      <c r="R60" s="25" t="s">
        <v>256</v>
      </c>
      <c r="S60" s="25" t="s">
        <v>177</v>
      </c>
      <c r="T60" s="25" t="s">
        <v>176</v>
      </c>
      <c r="U60" s="25" t="s">
        <v>175</v>
      </c>
      <c r="V60" s="32" t="s">
        <v>1737</v>
      </c>
    </row>
    <row r="61" spans="1:22" x14ac:dyDescent="0.2">
      <c r="A61" s="28"/>
      <c r="B61" s="25" t="s">
        <v>363</v>
      </c>
      <c r="C61" s="25">
        <v>14216696</v>
      </c>
      <c r="D61" s="25" t="s">
        <v>360</v>
      </c>
      <c r="E61" s="25" t="s">
        <v>329</v>
      </c>
      <c r="F61" s="25" t="s">
        <v>362</v>
      </c>
      <c r="G61" s="25" t="s">
        <v>183</v>
      </c>
      <c r="H61" s="25" t="s">
        <v>310</v>
      </c>
      <c r="I61" s="27">
        <v>43859</v>
      </c>
      <c r="K61" s="27">
        <v>43969</v>
      </c>
      <c r="L61" s="26">
        <v>-57600</v>
      </c>
      <c r="M61" s="25">
        <v>2000324562</v>
      </c>
      <c r="N61" s="25" t="s">
        <v>327</v>
      </c>
      <c r="O61" s="25" t="s">
        <v>180</v>
      </c>
      <c r="P61" s="26">
        <v>59</v>
      </c>
      <c r="Q61" s="25" t="s">
        <v>179</v>
      </c>
      <c r="R61" s="25" t="s">
        <v>256</v>
      </c>
      <c r="S61" s="25" t="s">
        <v>177</v>
      </c>
      <c r="T61" s="25" t="s">
        <v>176</v>
      </c>
      <c r="U61" s="25" t="s">
        <v>175</v>
      </c>
      <c r="V61" s="32" t="s">
        <v>1737</v>
      </c>
    </row>
    <row r="62" spans="1:22" x14ac:dyDescent="0.2">
      <c r="A62" s="28"/>
      <c r="B62" s="25" t="s">
        <v>361</v>
      </c>
      <c r="C62" s="25">
        <v>14218231</v>
      </c>
      <c r="D62" s="25" t="s">
        <v>360</v>
      </c>
      <c r="E62" s="25" t="s">
        <v>329</v>
      </c>
      <c r="F62" s="25" t="s">
        <v>359</v>
      </c>
      <c r="G62" s="25" t="s">
        <v>183</v>
      </c>
      <c r="H62" s="25" t="s">
        <v>310</v>
      </c>
      <c r="I62" s="27">
        <v>43860</v>
      </c>
      <c r="K62" s="27">
        <v>43969</v>
      </c>
      <c r="L62" s="26">
        <v>-355598</v>
      </c>
      <c r="M62" s="25">
        <v>2000324562</v>
      </c>
      <c r="N62" s="25" t="s">
        <v>327</v>
      </c>
      <c r="O62" s="25" t="s">
        <v>180</v>
      </c>
      <c r="P62" s="26">
        <v>59</v>
      </c>
      <c r="Q62" s="25" t="s">
        <v>179</v>
      </c>
      <c r="R62" s="25" t="s">
        <v>256</v>
      </c>
      <c r="S62" s="25" t="s">
        <v>177</v>
      </c>
      <c r="T62" s="25" t="s">
        <v>176</v>
      </c>
      <c r="U62" s="25" t="s">
        <v>175</v>
      </c>
      <c r="V62" s="32" t="s">
        <v>1737</v>
      </c>
    </row>
    <row r="63" spans="1:22" x14ac:dyDescent="0.2">
      <c r="A63" s="28"/>
      <c r="B63" s="25" t="s">
        <v>358</v>
      </c>
      <c r="C63" s="25">
        <v>14198475</v>
      </c>
      <c r="D63" s="25" t="s">
        <v>357</v>
      </c>
      <c r="E63" s="25" t="s">
        <v>351</v>
      </c>
      <c r="F63" s="25" t="s">
        <v>356</v>
      </c>
      <c r="G63" s="25" t="s">
        <v>183</v>
      </c>
      <c r="H63" s="25" t="s">
        <v>355</v>
      </c>
      <c r="I63" s="27">
        <v>43841</v>
      </c>
      <c r="K63" s="27">
        <v>43981</v>
      </c>
      <c r="L63" s="26">
        <v>-85976</v>
      </c>
      <c r="M63" s="25">
        <v>2000324562</v>
      </c>
      <c r="N63" s="25" t="s">
        <v>354</v>
      </c>
      <c r="O63" s="25" t="s">
        <v>180</v>
      </c>
      <c r="P63" s="26">
        <v>59</v>
      </c>
      <c r="Q63" s="25" t="s">
        <v>179</v>
      </c>
      <c r="R63" s="25" t="s">
        <v>244</v>
      </c>
      <c r="S63" s="25" t="s">
        <v>177</v>
      </c>
      <c r="T63" s="25" t="s">
        <v>176</v>
      </c>
      <c r="U63" s="25" t="s">
        <v>175</v>
      </c>
      <c r="V63" s="32" t="s">
        <v>1737</v>
      </c>
    </row>
    <row r="64" spans="1:22" x14ac:dyDescent="0.2">
      <c r="A64" s="28"/>
      <c r="B64" s="25" t="s">
        <v>353</v>
      </c>
      <c r="C64" s="25">
        <v>14218806</v>
      </c>
      <c r="D64" s="25" t="s">
        <v>352</v>
      </c>
      <c r="E64" s="25" t="s">
        <v>351</v>
      </c>
      <c r="F64" s="25" t="s">
        <v>350</v>
      </c>
      <c r="G64" s="25" t="s">
        <v>183</v>
      </c>
      <c r="H64" s="25" t="s">
        <v>349</v>
      </c>
      <c r="I64" s="27">
        <v>43861</v>
      </c>
      <c r="K64" s="27">
        <v>43972</v>
      </c>
      <c r="L64" s="26">
        <v>-176664</v>
      </c>
      <c r="M64" s="25">
        <v>2000324562</v>
      </c>
      <c r="N64" s="25" t="s">
        <v>348</v>
      </c>
      <c r="O64" s="25" t="s">
        <v>180</v>
      </c>
      <c r="P64" s="26">
        <v>59</v>
      </c>
      <c r="Q64" s="25" t="s">
        <v>179</v>
      </c>
      <c r="R64" s="25" t="s">
        <v>347</v>
      </c>
      <c r="S64" s="25" t="s">
        <v>177</v>
      </c>
      <c r="T64" s="25" t="s">
        <v>176</v>
      </c>
      <c r="U64" s="25" t="s">
        <v>175</v>
      </c>
      <c r="V64" s="32" t="s">
        <v>1737</v>
      </c>
    </row>
    <row r="65" spans="1:22" x14ac:dyDescent="0.2">
      <c r="A65" s="28"/>
      <c r="B65" s="25" t="s">
        <v>346</v>
      </c>
      <c r="C65" s="25">
        <v>14164134</v>
      </c>
      <c r="D65" s="25" t="s">
        <v>313</v>
      </c>
      <c r="E65" s="25" t="s">
        <v>312</v>
      </c>
      <c r="F65" s="25" t="s">
        <v>345</v>
      </c>
      <c r="G65" s="25" t="s">
        <v>183</v>
      </c>
      <c r="H65" s="25" t="s">
        <v>332</v>
      </c>
      <c r="I65" s="27">
        <v>43834</v>
      </c>
      <c r="K65" s="27">
        <v>43969</v>
      </c>
      <c r="L65" s="26">
        <v>-33200</v>
      </c>
      <c r="M65" s="25">
        <v>2000324562</v>
      </c>
      <c r="N65" s="25" t="s">
        <v>344</v>
      </c>
      <c r="O65" s="25" t="s">
        <v>180</v>
      </c>
      <c r="P65" s="26">
        <v>59</v>
      </c>
      <c r="Q65" s="25" t="s">
        <v>179</v>
      </c>
      <c r="R65" s="25" t="s">
        <v>256</v>
      </c>
      <c r="S65" s="25" t="s">
        <v>177</v>
      </c>
      <c r="T65" s="25" t="s">
        <v>176</v>
      </c>
      <c r="U65" s="25" t="s">
        <v>175</v>
      </c>
      <c r="V65" s="32" t="s">
        <v>1737</v>
      </c>
    </row>
    <row r="66" spans="1:22" x14ac:dyDescent="0.2">
      <c r="A66" s="28"/>
      <c r="B66" s="25" t="s">
        <v>343</v>
      </c>
      <c r="C66" s="25">
        <v>14164139</v>
      </c>
      <c r="D66" s="25" t="s">
        <v>313</v>
      </c>
      <c r="E66" s="25" t="s">
        <v>312</v>
      </c>
      <c r="F66" s="25" t="s">
        <v>342</v>
      </c>
      <c r="G66" s="25" t="s">
        <v>183</v>
      </c>
      <c r="H66" s="25" t="s">
        <v>332</v>
      </c>
      <c r="I66" s="27">
        <v>43837</v>
      </c>
      <c r="K66" s="27">
        <v>43969</v>
      </c>
      <c r="L66" s="26">
        <v>-33200</v>
      </c>
      <c r="M66" s="25">
        <v>2000324562</v>
      </c>
      <c r="N66" s="25" t="s">
        <v>341</v>
      </c>
      <c r="O66" s="25" t="s">
        <v>180</v>
      </c>
      <c r="P66" s="26">
        <v>59</v>
      </c>
      <c r="Q66" s="25" t="s">
        <v>179</v>
      </c>
      <c r="R66" s="25" t="s">
        <v>256</v>
      </c>
      <c r="S66" s="25" t="s">
        <v>177</v>
      </c>
      <c r="T66" s="25" t="s">
        <v>176</v>
      </c>
      <c r="U66" s="25" t="s">
        <v>175</v>
      </c>
      <c r="V66" s="32" t="s">
        <v>1737</v>
      </c>
    </row>
    <row r="67" spans="1:22" x14ac:dyDescent="0.2">
      <c r="A67" s="28"/>
      <c r="B67" s="25" t="s">
        <v>340</v>
      </c>
      <c r="C67" s="25">
        <v>14192454</v>
      </c>
      <c r="D67" s="25" t="s">
        <v>313</v>
      </c>
      <c r="E67" s="25" t="s">
        <v>312</v>
      </c>
      <c r="F67" s="25" t="s">
        <v>339</v>
      </c>
      <c r="G67" s="25" t="s">
        <v>183</v>
      </c>
      <c r="H67" s="25" t="s">
        <v>332</v>
      </c>
      <c r="I67" s="27">
        <v>43833</v>
      </c>
      <c r="K67" s="27">
        <v>43969</v>
      </c>
      <c r="L67" s="26">
        <v>-392000</v>
      </c>
      <c r="M67" s="25">
        <v>2000324562</v>
      </c>
      <c r="N67" s="25" t="s">
        <v>338</v>
      </c>
      <c r="O67" s="25" t="s">
        <v>180</v>
      </c>
      <c r="P67" s="26">
        <v>59</v>
      </c>
      <c r="Q67" s="25" t="s">
        <v>179</v>
      </c>
      <c r="R67" s="25" t="s">
        <v>256</v>
      </c>
      <c r="S67" s="25" t="s">
        <v>177</v>
      </c>
      <c r="T67" s="25" t="s">
        <v>176</v>
      </c>
      <c r="U67" s="25" t="s">
        <v>175</v>
      </c>
      <c r="V67" s="32" t="s">
        <v>1737</v>
      </c>
    </row>
    <row r="68" spans="1:22" x14ac:dyDescent="0.2">
      <c r="A68" s="28"/>
      <c r="B68" s="25" t="s">
        <v>337</v>
      </c>
      <c r="C68" s="25">
        <v>14193915</v>
      </c>
      <c r="D68" s="25" t="s">
        <v>313</v>
      </c>
      <c r="E68" s="25" t="s">
        <v>312</v>
      </c>
      <c r="F68" s="25" t="s">
        <v>336</v>
      </c>
      <c r="G68" s="25" t="s">
        <v>183</v>
      </c>
      <c r="H68" s="25" t="s">
        <v>332</v>
      </c>
      <c r="I68" s="27">
        <v>43837</v>
      </c>
      <c r="K68" s="27">
        <v>43969</v>
      </c>
      <c r="L68" s="26">
        <v>-356613</v>
      </c>
      <c r="M68" s="25">
        <v>2000324562</v>
      </c>
      <c r="N68" s="25" t="s">
        <v>335</v>
      </c>
      <c r="O68" s="25" t="s">
        <v>180</v>
      </c>
      <c r="P68" s="26">
        <v>59</v>
      </c>
      <c r="Q68" s="25" t="s">
        <v>179</v>
      </c>
      <c r="R68" s="25" t="s">
        <v>256</v>
      </c>
      <c r="S68" s="25" t="s">
        <v>177</v>
      </c>
      <c r="T68" s="25" t="s">
        <v>176</v>
      </c>
      <c r="U68" s="25" t="s">
        <v>175</v>
      </c>
      <c r="V68" s="32" t="s">
        <v>1737</v>
      </c>
    </row>
    <row r="69" spans="1:22" x14ac:dyDescent="0.2">
      <c r="A69" s="28"/>
      <c r="B69" s="25" t="s">
        <v>334</v>
      </c>
      <c r="C69" s="25">
        <v>14201100</v>
      </c>
      <c r="D69" s="25" t="s">
        <v>313</v>
      </c>
      <c r="E69" s="25" t="s">
        <v>312</v>
      </c>
      <c r="F69" s="25" t="s">
        <v>333</v>
      </c>
      <c r="G69" s="25" t="s">
        <v>183</v>
      </c>
      <c r="H69" s="25" t="s">
        <v>332</v>
      </c>
      <c r="I69" s="27">
        <v>43844</v>
      </c>
      <c r="K69" s="27">
        <v>43969</v>
      </c>
      <c r="L69" s="26">
        <v>-57600</v>
      </c>
      <c r="M69" s="25">
        <v>2000324562</v>
      </c>
      <c r="N69" s="25" t="s">
        <v>331</v>
      </c>
      <c r="O69" s="25" t="s">
        <v>180</v>
      </c>
      <c r="P69" s="26">
        <v>59</v>
      </c>
      <c r="Q69" s="25" t="s">
        <v>179</v>
      </c>
      <c r="R69" s="25" t="s">
        <v>256</v>
      </c>
      <c r="S69" s="25" t="s">
        <v>177</v>
      </c>
      <c r="T69" s="25" t="s">
        <v>176</v>
      </c>
      <c r="U69" s="25" t="s">
        <v>175</v>
      </c>
      <c r="V69" s="32" t="s">
        <v>1737</v>
      </c>
    </row>
    <row r="70" spans="1:22" x14ac:dyDescent="0.2">
      <c r="A70" s="28"/>
      <c r="B70" s="25" t="s">
        <v>330</v>
      </c>
      <c r="C70" s="25">
        <v>14201185</v>
      </c>
      <c r="D70" s="25" t="s">
        <v>313</v>
      </c>
      <c r="E70" s="25" t="s">
        <v>329</v>
      </c>
      <c r="F70" s="25" t="s">
        <v>328</v>
      </c>
      <c r="G70" s="25" t="s">
        <v>183</v>
      </c>
      <c r="H70" s="25" t="s">
        <v>310</v>
      </c>
      <c r="I70" s="27">
        <v>43845</v>
      </c>
      <c r="K70" s="27">
        <v>43969</v>
      </c>
      <c r="L70" s="26">
        <v>-113928</v>
      </c>
      <c r="M70" s="25">
        <v>2000324562</v>
      </c>
      <c r="N70" s="25" t="s">
        <v>327</v>
      </c>
      <c r="O70" s="25" t="s">
        <v>180</v>
      </c>
      <c r="P70" s="26">
        <v>59</v>
      </c>
      <c r="Q70" s="25" t="s">
        <v>179</v>
      </c>
      <c r="R70" s="25" t="s">
        <v>256</v>
      </c>
      <c r="S70" s="25" t="s">
        <v>177</v>
      </c>
      <c r="T70" s="25" t="s">
        <v>176</v>
      </c>
      <c r="U70" s="25" t="s">
        <v>175</v>
      </c>
      <c r="V70" s="32" t="s">
        <v>1737</v>
      </c>
    </row>
    <row r="71" spans="1:22" x14ac:dyDescent="0.2">
      <c r="A71" s="28"/>
      <c r="B71" s="25" t="s">
        <v>326</v>
      </c>
      <c r="C71" s="25">
        <v>14212560</v>
      </c>
      <c r="D71" s="25" t="s">
        <v>313</v>
      </c>
      <c r="E71" s="25" t="s">
        <v>312</v>
      </c>
      <c r="F71" s="25" t="s">
        <v>325</v>
      </c>
      <c r="G71" s="25" t="s">
        <v>183</v>
      </c>
      <c r="H71" s="25" t="s">
        <v>310</v>
      </c>
      <c r="I71" s="27">
        <v>43855</v>
      </c>
      <c r="K71" s="27">
        <v>43969</v>
      </c>
      <c r="L71" s="26">
        <v>-57600</v>
      </c>
      <c r="M71" s="25">
        <v>2000324562</v>
      </c>
      <c r="N71" s="25" t="s">
        <v>309</v>
      </c>
      <c r="O71" s="25" t="s">
        <v>180</v>
      </c>
      <c r="P71" s="26">
        <v>59</v>
      </c>
      <c r="Q71" s="25" t="s">
        <v>179</v>
      </c>
      <c r="R71" s="25" t="s">
        <v>256</v>
      </c>
      <c r="S71" s="25" t="s">
        <v>177</v>
      </c>
      <c r="T71" s="25" t="s">
        <v>176</v>
      </c>
      <c r="U71" s="25" t="s">
        <v>175</v>
      </c>
      <c r="V71" s="32" t="s">
        <v>1737</v>
      </c>
    </row>
    <row r="72" spans="1:22" x14ac:dyDescent="0.2">
      <c r="A72" s="28"/>
      <c r="B72" s="25" t="s">
        <v>324</v>
      </c>
      <c r="C72" s="25">
        <v>14214599</v>
      </c>
      <c r="D72" s="25" t="s">
        <v>313</v>
      </c>
      <c r="E72" s="25" t="s">
        <v>312</v>
      </c>
      <c r="F72" s="25" t="s">
        <v>323</v>
      </c>
      <c r="G72" s="25" t="s">
        <v>183</v>
      </c>
      <c r="H72" s="25" t="s">
        <v>310</v>
      </c>
      <c r="I72" s="27">
        <v>43858</v>
      </c>
      <c r="K72" s="27">
        <v>43969</v>
      </c>
      <c r="L72" s="26">
        <v>-119900</v>
      </c>
      <c r="M72" s="25">
        <v>2000324562</v>
      </c>
      <c r="N72" s="25" t="s">
        <v>322</v>
      </c>
      <c r="O72" s="25" t="s">
        <v>180</v>
      </c>
      <c r="P72" s="26">
        <v>59</v>
      </c>
      <c r="Q72" s="25" t="s">
        <v>179</v>
      </c>
      <c r="R72" s="25" t="s">
        <v>256</v>
      </c>
      <c r="S72" s="25" t="s">
        <v>177</v>
      </c>
      <c r="T72" s="25" t="s">
        <v>176</v>
      </c>
      <c r="U72" s="25" t="s">
        <v>175</v>
      </c>
      <c r="V72" s="32" t="s">
        <v>1737</v>
      </c>
    </row>
    <row r="73" spans="1:22" x14ac:dyDescent="0.2">
      <c r="A73" s="28"/>
      <c r="B73" s="25" t="s">
        <v>321</v>
      </c>
      <c r="C73" s="25">
        <v>14215498</v>
      </c>
      <c r="D73" s="25" t="s">
        <v>313</v>
      </c>
      <c r="E73" s="25" t="s">
        <v>312</v>
      </c>
      <c r="F73" s="25" t="s">
        <v>320</v>
      </c>
      <c r="G73" s="25" t="s">
        <v>183</v>
      </c>
      <c r="H73" s="25" t="s">
        <v>319</v>
      </c>
      <c r="I73" s="27">
        <v>43858</v>
      </c>
      <c r="K73" s="27">
        <v>43969</v>
      </c>
      <c r="L73" s="26">
        <v>-35100</v>
      </c>
      <c r="M73" s="25">
        <v>2000324562</v>
      </c>
      <c r="N73" s="25" t="s">
        <v>318</v>
      </c>
      <c r="O73" s="25" t="s">
        <v>180</v>
      </c>
      <c r="P73" s="26">
        <v>59</v>
      </c>
      <c r="Q73" s="25" t="s">
        <v>179</v>
      </c>
      <c r="R73" s="25" t="s">
        <v>256</v>
      </c>
      <c r="S73" s="25" t="s">
        <v>177</v>
      </c>
      <c r="T73" s="25" t="s">
        <v>176</v>
      </c>
      <c r="U73" s="25" t="s">
        <v>175</v>
      </c>
      <c r="V73" s="32" t="s">
        <v>1737</v>
      </c>
    </row>
    <row r="74" spans="1:22" x14ac:dyDescent="0.2">
      <c r="A74" s="28"/>
      <c r="B74" s="25" t="s">
        <v>317</v>
      </c>
      <c r="C74" s="25">
        <v>14219234</v>
      </c>
      <c r="D74" s="25" t="s">
        <v>313</v>
      </c>
      <c r="E74" s="25" t="s">
        <v>312</v>
      </c>
      <c r="F74" s="25" t="s">
        <v>316</v>
      </c>
      <c r="G74" s="25" t="s">
        <v>183</v>
      </c>
      <c r="H74" s="25" t="s">
        <v>310</v>
      </c>
      <c r="I74" s="27">
        <v>43861</v>
      </c>
      <c r="K74" s="27">
        <v>43969</v>
      </c>
      <c r="L74" s="26">
        <v>-59311</v>
      </c>
      <c r="M74" s="25">
        <v>2000324562</v>
      </c>
      <c r="N74" s="25" t="s">
        <v>315</v>
      </c>
      <c r="O74" s="25" t="s">
        <v>180</v>
      </c>
      <c r="P74" s="26">
        <v>59</v>
      </c>
      <c r="Q74" s="25" t="s">
        <v>179</v>
      </c>
      <c r="R74" s="25" t="s">
        <v>256</v>
      </c>
      <c r="S74" s="25" t="s">
        <v>177</v>
      </c>
      <c r="T74" s="25" t="s">
        <v>176</v>
      </c>
      <c r="U74" s="25" t="s">
        <v>175</v>
      </c>
      <c r="V74" s="32" t="s">
        <v>1737</v>
      </c>
    </row>
    <row r="75" spans="1:22" x14ac:dyDescent="0.2">
      <c r="A75" s="28"/>
      <c r="B75" s="25" t="s">
        <v>314</v>
      </c>
      <c r="C75" s="25">
        <v>14220586</v>
      </c>
      <c r="D75" s="25" t="s">
        <v>313</v>
      </c>
      <c r="E75" s="25" t="s">
        <v>312</v>
      </c>
      <c r="F75" s="25" t="s">
        <v>311</v>
      </c>
      <c r="G75" s="25" t="s">
        <v>183</v>
      </c>
      <c r="H75" s="25" t="s">
        <v>310</v>
      </c>
      <c r="I75" s="27">
        <v>43862</v>
      </c>
      <c r="K75" s="27">
        <v>43969</v>
      </c>
      <c r="L75" s="26">
        <v>-360176</v>
      </c>
      <c r="M75" s="25">
        <v>2000324562</v>
      </c>
      <c r="N75" s="25" t="s">
        <v>309</v>
      </c>
      <c r="O75" s="25" t="s">
        <v>180</v>
      </c>
      <c r="P75" s="26">
        <v>59</v>
      </c>
      <c r="Q75" s="25" t="s">
        <v>179</v>
      </c>
      <c r="R75" s="25" t="s">
        <v>256</v>
      </c>
      <c r="S75" s="25" t="s">
        <v>177</v>
      </c>
      <c r="T75" s="25" t="s">
        <v>176</v>
      </c>
      <c r="U75" s="25" t="s">
        <v>175</v>
      </c>
      <c r="V75" s="32" t="s">
        <v>1737</v>
      </c>
    </row>
    <row r="76" spans="1:22" x14ac:dyDescent="0.2">
      <c r="A76" s="28"/>
      <c r="B76" s="25" t="s">
        <v>308</v>
      </c>
      <c r="C76" s="25">
        <v>14217389</v>
      </c>
      <c r="D76" s="25" t="s">
        <v>307</v>
      </c>
      <c r="E76" s="25" t="s">
        <v>185</v>
      </c>
      <c r="F76" s="25" t="s">
        <v>306</v>
      </c>
      <c r="G76" s="25" t="s">
        <v>183</v>
      </c>
      <c r="H76" s="25" t="s">
        <v>305</v>
      </c>
      <c r="I76" s="27">
        <v>43860</v>
      </c>
      <c r="K76" s="27">
        <v>43953</v>
      </c>
      <c r="L76" s="26">
        <v>-54400</v>
      </c>
      <c r="M76" s="25">
        <v>2000324562</v>
      </c>
      <c r="N76" s="25" t="s">
        <v>304</v>
      </c>
      <c r="O76" s="25" t="s">
        <v>180</v>
      </c>
      <c r="P76" s="26">
        <v>59</v>
      </c>
      <c r="Q76" s="25" t="s">
        <v>179</v>
      </c>
      <c r="R76" s="25" t="s">
        <v>303</v>
      </c>
      <c r="S76" s="25" t="s">
        <v>177</v>
      </c>
      <c r="T76" s="25" t="s">
        <v>176</v>
      </c>
      <c r="U76" s="25" t="s">
        <v>175</v>
      </c>
      <c r="V76" s="32" t="s">
        <v>1737</v>
      </c>
    </row>
    <row r="77" spans="1:22" x14ac:dyDescent="0.2">
      <c r="A77" s="28"/>
      <c r="B77" s="25" t="s">
        <v>187</v>
      </c>
      <c r="C77" s="25">
        <v>14206041</v>
      </c>
      <c r="D77" s="25" t="s">
        <v>186</v>
      </c>
      <c r="E77" s="25" t="s">
        <v>185</v>
      </c>
      <c r="F77" s="25" t="s">
        <v>184</v>
      </c>
      <c r="G77" s="25" t="s">
        <v>183</v>
      </c>
      <c r="H77" s="25" t="s">
        <v>182</v>
      </c>
      <c r="I77" s="27">
        <v>43850</v>
      </c>
      <c r="K77" s="27">
        <v>43964</v>
      </c>
      <c r="L77" s="26">
        <v>-87438</v>
      </c>
      <c r="M77" s="25">
        <v>2000324562</v>
      </c>
      <c r="N77" s="25" t="s">
        <v>302</v>
      </c>
      <c r="O77" s="25" t="s">
        <v>180</v>
      </c>
      <c r="P77" s="26">
        <v>59</v>
      </c>
      <c r="Q77" s="25" t="s">
        <v>179</v>
      </c>
      <c r="R77" s="25" t="s">
        <v>178</v>
      </c>
      <c r="S77" s="25" t="s">
        <v>177</v>
      </c>
      <c r="T77" s="25" t="s">
        <v>176</v>
      </c>
      <c r="U77" s="25" t="s">
        <v>175</v>
      </c>
      <c r="V77" s="32" t="s">
        <v>1737</v>
      </c>
    </row>
    <row r="78" spans="1:22" x14ac:dyDescent="0.2">
      <c r="A78" s="28"/>
      <c r="B78" s="25" t="s">
        <v>301</v>
      </c>
      <c r="C78" s="25">
        <v>14206052</v>
      </c>
      <c r="D78" s="25" t="s">
        <v>186</v>
      </c>
      <c r="E78" s="25" t="s">
        <v>185</v>
      </c>
      <c r="F78" s="25" t="s">
        <v>300</v>
      </c>
      <c r="G78" s="25" t="s">
        <v>183</v>
      </c>
      <c r="H78" s="25" t="s">
        <v>182</v>
      </c>
      <c r="I78" s="27">
        <v>43850</v>
      </c>
      <c r="K78" s="27">
        <v>43964</v>
      </c>
      <c r="L78" s="26">
        <v>-76900</v>
      </c>
      <c r="M78" s="25">
        <v>2000324562</v>
      </c>
      <c r="N78" s="25" t="s">
        <v>297</v>
      </c>
      <c r="O78" s="25" t="s">
        <v>180</v>
      </c>
      <c r="P78" s="26">
        <v>59</v>
      </c>
      <c r="Q78" s="25" t="s">
        <v>179</v>
      </c>
      <c r="R78" s="25" t="s">
        <v>178</v>
      </c>
      <c r="S78" s="25" t="s">
        <v>177</v>
      </c>
      <c r="T78" s="25" t="s">
        <v>176</v>
      </c>
      <c r="U78" s="25" t="s">
        <v>175</v>
      </c>
      <c r="V78" s="32" t="s">
        <v>1737</v>
      </c>
    </row>
    <row r="79" spans="1:22" x14ac:dyDescent="0.2">
      <c r="A79" s="28"/>
      <c r="B79" s="25" t="s">
        <v>299</v>
      </c>
      <c r="C79" s="25">
        <v>14206060</v>
      </c>
      <c r="D79" s="25" t="s">
        <v>186</v>
      </c>
      <c r="E79" s="25" t="s">
        <v>185</v>
      </c>
      <c r="F79" s="25" t="s">
        <v>298</v>
      </c>
      <c r="G79" s="25" t="s">
        <v>183</v>
      </c>
      <c r="H79" s="25" t="s">
        <v>182</v>
      </c>
      <c r="I79" s="27">
        <v>43850</v>
      </c>
      <c r="K79" s="27">
        <v>43964</v>
      </c>
      <c r="L79" s="26">
        <v>-50600</v>
      </c>
      <c r="M79" s="25">
        <v>2000324562</v>
      </c>
      <c r="N79" s="25" t="s">
        <v>297</v>
      </c>
      <c r="O79" s="25" t="s">
        <v>180</v>
      </c>
      <c r="P79" s="26">
        <v>59</v>
      </c>
      <c r="Q79" s="25" t="s">
        <v>179</v>
      </c>
      <c r="R79" s="25" t="s">
        <v>178</v>
      </c>
      <c r="S79" s="25" t="s">
        <v>177</v>
      </c>
      <c r="T79" s="25" t="s">
        <v>176</v>
      </c>
      <c r="U79" s="25" t="s">
        <v>175</v>
      </c>
      <c r="V79" s="32" t="s">
        <v>1737</v>
      </c>
    </row>
    <row r="80" spans="1:22" x14ac:dyDescent="0.2">
      <c r="A80" s="28"/>
      <c r="B80" s="25" t="s">
        <v>296</v>
      </c>
      <c r="C80" s="25" t="s">
        <v>296</v>
      </c>
      <c r="D80" s="32" t="s">
        <v>291</v>
      </c>
      <c r="E80" s="25" t="s">
        <v>185</v>
      </c>
      <c r="F80" s="25" t="s">
        <v>295</v>
      </c>
      <c r="G80" s="25" t="s">
        <v>276</v>
      </c>
      <c r="H80" s="25" t="s">
        <v>294</v>
      </c>
      <c r="I80" s="27">
        <v>43959</v>
      </c>
      <c r="K80" s="27">
        <v>43959</v>
      </c>
      <c r="L80" s="26">
        <v>13122370</v>
      </c>
      <c r="M80" s="25">
        <v>2000324562</v>
      </c>
      <c r="N80" s="25" t="s">
        <v>293</v>
      </c>
      <c r="O80" s="25" t="s">
        <v>271</v>
      </c>
      <c r="P80" s="26">
        <v>22</v>
      </c>
      <c r="Q80" s="25" t="s">
        <v>292</v>
      </c>
      <c r="R80" s="25" t="s">
        <v>291</v>
      </c>
      <c r="S80" s="25" t="s">
        <v>177</v>
      </c>
      <c r="T80" s="25" t="s">
        <v>176</v>
      </c>
      <c r="U80" s="25" t="s">
        <v>175</v>
      </c>
      <c r="V80" s="32" t="s">
        <v>1737</v>
      </c>
    </row>
    <row r="81" spans="1:22" x14ac:dyDescent="0.2">
      <c r="A81" s="28"/>
      <c r="B81" s="25" t="s">
        <v>617</v>
      </c>
      <c r="C81" s="25">
        <v>14060526</v>
      </c>
      <c r="D81" s="25" t="s">
        <v>616</v>
      </c>
      <c r="E81" s="25" t="s">
        <v>185</v>
      </c>
      <c r="F81" s="25" t="s">
        <v>615</v>
      </c>
      <c r="G81" s="25" t="s">
        <v>183</v>
      </c>
      <c r="H81" s="25" t="s">
        <v>443</v>
      </c>
      <c r="I81" s="27">
        <v>43707</v>
      </c>
      <c r="K81" s="27">
        <v>43771</v>
      </c>
      <c r="L81" s="26">
        <v>-780300</v>
      </c>
      <c r="M81" s="25">
        <v>2000324561</v>
      </c>
      <c r="N81" s="25" t="s">
        <v>614</v>
      </c>
      <c r="O81" s="25" t="s">
        <v>180</v>
      </c>
      <c r="P81" s="26">
        <v>211</v>
      </c>
      <c r="Q81" s="25" t="s">
        <v>189</v>
      </c>
      <c r="R81" s="25" t="s">
        <v>613</v>
      </c>
      <c r="S81" s="25" t="s">
        <v>177</v>
      </c>
      <c r="T81" s="25" t="s">
        <v>176</v>
      </c>
      <c r="U81" s="25" t="s">
        <v>175</v>
      </c>
      <c r="V81" s="32" t="s">
        <v>1736</v>
      </c>
    </row>
    <row r="82" spans="1:22" x14ac:dyDescent="0.2">
      <c r="A82" s="28"/>
      <c r="B82" s="25" t="s">
        <v>555</v>
      </c>
      <c r="C82" s="25">
        <v>14051741</v>
      </c>
      <c r="D82" s="25" t="s">
        <v>267</v>
      </c>
      <c r="E82" s="25" t="s">
        <v>185</v>
      </c>
      <c r="F82" s="25" t="s">
        <v>554</v>
      </c>
      <c r="G82" s="25" t="s">
        <v>553</v>
      </c>
      <c r="H82" s="25" t="s">
        <v>265</v>
      </c>
      <c r="I82" s="27">
        <v>43700</v>
      </c>
      <c r="K82" s="27">
        <v>43981</v>
      </c>
      <c r="L82" s="26">
        <v>-95956</v>
      </c>
      <c r="M82" s="25">
        <v>2000324561</v>
      </c>
      <c r="N82" s="25" t="s">
        <v>612</v>
      </c>
      <c r="O82" s="25" t="s">
        <v>180</v>
      </c>
      <c r="P82" s="26">
        <v>-60</v>
      </c>
      <c r="Q82" s="25" t="s">
        <v>179</v>
      </c>
      <c r="R82" s="25" t="s">
        <v>262</v>
      </c>
      <c r="S82" s="25" t="s">
        <v>177</v>
      </c>
      <c r="T82" s="25" t="s">
        <v>176</v>
      </c>
      <c r="U82" s="25" t="s">
        <v>175</v>
      </c>
      <c r="V82" s="32" t="s">
        <v>1736</v>
      </c>
    </row>
    <row r="83" spans="1:22" x14ac:dyDescent="0.2">
      <c r="A83" s="28"/>
      <c r="B83" s="25" t="s">
        <v>611</v>
      </c>
      <c r="C83" s="25">
        <v>14071197</v>
      </c>
      <c r="D83" s="25" t="s">
        <v>508</v>
      </c>
      <c r="E83" s="25" t="s">
        <v>312</v>
      </c>
      <c r="F83" s="25" t="s">
        <v>610</v>
      </c>
      <c r="G83" s="25" t="s">
        <v>183</v>
      </c>
      <c r="H83" s="25" t="s">
        <v>219</v>
      </c>
      <c r="I83" s="27">
        <v>43719</v>
      </c>
      <c r="K83" s="27">
        <v>43936</v>
      </c>
      <c r="L83" s="26">
        <v>-13558</v>
      </c>
      <c r="M83" s="25">
        <v>2000324561</v>
      </c>
      <c r="N83" s="25" t="s">
        <v>609</v>
      </c>
      <c r="O83" s="25" t="s">
        <v>180</v>
      </c>
      <c r="P83" s="26">
        <v>202</v>
      </c>
      <c r="Q83" s="25" t="s">
        <v>179</v>
      </c>
      <c r="R83" s="25" t="s">
        <v>491</v>
      </c>
      <c r="S83" s="25" t="s">
        <v>177</v>
      </c>
      <c r="T83" s="25" t="s">
        <v>176</v>
      </c>
      <c r="U83" s="25" t="s">
        <v>175</v>
      </c>
      <c r="V83" s="32" t="s">
        <v>1736</v>
      </c>
    </row>
    <row r="84" spans="1:22" x14ac:dyDescent="0.2">
      <c r="A84" s="28"/>
      <c r="B84" s="25" t="s">
        <v>608</v>
      </c>
      <c r="C84" s="25">
        <v>14071101</v>
      </c>
      <c r="D84" s="25" t="s">
        <v>607</v>
      </c>
      <c r="E84" s="25" t="s">
        <v>185</v>
      </c>
      <c r="F84" s="25" t="s">
        <v>606</v>
      </c>
      <c r="G84" s="25" t="s">
        <v>183</v>
      </c>
      <c r="H84" s="25" t="s">
        <v>412</v>
      </c>
      <c r="I84" s="27">
        <v>43718</v>
      </c>
      <c r="K84" s="27">
        <v>43924</v>
      </c>
      <c r="L84" s="26">
        <v>-268104</v>
      </c>
      <c r="M84" s="25">
        <v>2000324561</v>
      </c>
      <c r="N84" s="25" t="s">
        <v>605</v>
      </c>
      <c r="O84" s="25" t="s">
        <v>180</v>
      </c>
      <c r="P84" s="26">
        <v>233</v>
      </c>
      <c r="Q84" s="25" t="s">
        <v>557</v>
      </c>
      <c r="R84" s="25" t="s">
        <v>427</v>
      </c>
      <c r="S84" s="25" t="s">
        <v>177</v>
      </c>
      <c r="T84" s="25" t="s">
        <v>176</v>
      </c>
      <c r="U84" s="25" t="s">
        <v>175</v>
      </c>
      <c r="V84" s="32" t="s">
        <v>1736</v>
      </c>
    </row>
    <row r="85" spans="1:22" x14ac:dyDescent="0.2">
      <c r="A85" s="28"/>
      <c r="B85" s="25" t="s">
        <v>604</v>
      </c>
      <c r="C85" s="25">
        <v>13987467</v>
      </c>
      <c r="D85" s="25" t="s">
        <v>603</v>
      </c>
      <c r="E85" s="25" t="s">
        <v>185</v>
      </c>
      <c r="F85" s="25" t="s">
        <v>602</v>
      </c>
      <c r="G85" s="25" t="s">
        <v>553</v>
      </c>
      <c r="H85" s="25" t="s">
        <v>246</v>
      </c>
      <c r="I85" s="27">
        <v>43640</v>
      </c>
      <c r="K85" s="27">
        <v>43924</v>
      </c>
      <c r="L85" s="26">
        <v>-47583</v>
      </c>
      <c r="M85" s="25">
        <v>2000324561</v>
      </c>
      <c r="N85" s="25" t="s">
        <v>601</v>
      </c>
      <c r="O85" s="25" t="s">
        <v>180</v>
      </c>
      <c r="P85" s="26">
        <v>269</v>
      </c>
      <c r="Q85" s="25" t="s">
        <v>557</v>
      </c>
      <c r="R85" s="25" t="s">
        <v>600</v>
      </c>
      <c r="S85" s="25" t="s">
        <v>177</v>
      </c>
      <c r="T85" s="25" t="s">
        <v>176</v>
      </c>
      <c r="U85" s="25" t="s">
        <v>175</v>
      </c>
      <c r="V85" s="32" t="s">
        <v>1736</v>
      </c>
    </row>
    <row r="86" spans="1:22" x14ac:dyDescent="0.2">
      <c r="A86" s="28"/>
      <c r="B86" s="25" t="s">
        <v>599</v>
      </c>
      <c r="C86" s="25">
        <v>13956581</v>
      </c>
      <c r="D86" s="25" t="s">
        <v>595</v>
      </c>
      <c r="E86" s="25" t="s">
        <v>185</v>
      </c>
      <c r="F86" s="25" t="s">
        <v>598</v>
      </c>
      <c r="G86" s="25" t="s">
        <v>183</v>
      </c>
      <c r="H86" s="25" t="s">
        <v>443</v>
      </c>
      <c r="I86" s="27">
        <v>43613</v>
      </c>
      <c r="K86" s="27">
        <v>43713</v>
      </c>
      <c r="L86" s="26">
        <v>-168084</v>
      </c>
      <c r="M86" s="25">
        <v>2000324561</v>
      </c>
      <c r="N86" s="25" t="s">
        <v>597</v>
      </c>
      <c r="O86" s="25" t="s">
        <v>180</v>
      </c>
      <c r="P86" s="26">
        <v>269</v>
      </c>
      <c r="Q86" s="25" t="s">
        <v>189</v>
      </c>
      <c r="R86" s="25" t="s">
        <v>591</v>
      </c>
      <c r="S86" s="25" t="s">
        <v>177</v>
      </c>
      <c r="T86" s="25" t="s">
        <v>176</v>
      </c>
      <c r="U86" s="25" t="s">
        <v>175</v>
      </c>
      <c r="V86" s="32" t="s">
        <v>1736</v>
      </c>
    </row>
    <row r="87" spans="1:22" x14ac:dyDescent="0.2">
      <c r="A87" s="28"/>
      <c r="B87" s="25" t="s">
        <v>596</v>
      </c>
      <c r="C87" s="25">
        <v>13962507</v>
      </c>
      <c r="D87" s="25" t="s">
        <v>595</v>
      </c>
      <c r="E87" s="25" t="s">
        <v>185</v>
      </c>
      <c r="F87" s="25" t="s">
        <v>594</v>
      </c>
      <c r="G87" s="25" t="s">
        <v>183</v>
      </c>
      <c r="H87" s="25" t="s">
        <v>593</v>
      </c>
      <c r="I87" s="27">
        <v>43616</v>
      </c>
      <c r="K87" s="27">
        <v>43713</v>
      </c>
      <c r="L87" s="26">
        <v>-108666</v>
      </c>
      <c r="M87" s="25">
        <v>2000324561</v>
      </c>
      <c r="N87" s="25" t="s">
        <v>592</v>
      </c>
      <c r="O87" s="25" t="s">
        <v>180</v>
      </c>
      <c r="P87" s="26">
        <v>269</v>
      </c>
      <c r="Q87" s="25" t="s">
        <v>189</v>
      </c>
      <c r="R87" s="25" t="s">
        <v>591</v>
      </c>
      <c r="S87" s="25" t="s">
        <v>177</v>
      </c>
      <c r="T87" s="25" t="s">
        <v>176</v>
      </c>
      <c r="U87" s="25" t="s">
        <v>175</v>
      </c>
      <c r="V87" s="32" t="s">
        <v>1736</v>
      </c>
    </row>
    <row r="88" spans="1:22" x14ac:dyDescent="0.2">
      <c r="A88" s="28"/>
      <c r="B88" s="25" t="s">
        <v>590</v>
      </c>
      <c r="C88" s="25">
        <v>13996573</v>
      </c>
      <c r="D88" s="25" t="s">
        <v>589</v>
      </c>
      <c r="E88" s="25" t="s">
        <v>351</v>
      </c>
      <c r="F88" s="25" t="s">
        <v>588</v>
      </c>
      <c r="G88" s="25" t="s">
        <v>183</v>
      </c>
      <c r="H88" s="25" t="s">
        <v>587</v>
      </c>
      <c r="I88" s="27">
        <v>43649</v>
      </c>
      <c r="K88" s="27">
        <v>43713</v>
      </c>
      <c r="L88" s="26">
        <v>-195948</v>
      </c>
      <c r="M88" s="25">
        <v>2000324561</v>
      </c>
      <c r="N88" s="25" t="s">
        <v>586</v>
      </c>
      <c r="O88" s="25" t="s">
        <v>180</v>
      </c>
      <c r="P88" s="26">
        <v>269</v>
      </c>
      <c r="Q88" s="25" t="s">
        <v>189</v>
      </c>
      <c r="R88" s="25" t="s">
        <v>178</v>
      </c>
      <c r="S88" s="25" t="s">
        <v>177</v>
      </c>
      <c r="T88" s="25" t="s">
        <v>176</v>
      </c>
      <c r="U88" s="25" t="s">
        <v>175</v>
      </c>
      <c r="V88" s="32" t="s">
        <v>1736</v>
      </c>
    </row>
    <row r="89" spans="1:22" x14ac:dyDescent="0.2">
      <c r="A89" s="28"/>
      <c r="B89" s="25" t="s">
        <v>585</v>
      </c>
      <c r="C89" s="25">
        <v>14000927</v>
      </c>
      <c r="D89" s="25" t="s">
        <v>581</v>
      </c>
      <c r="E89" s="25" t="s">
        <v>185</v>
      </c>
      <c r="F89" s="25" t="s">
        <v>584</v>
      </c>
      <c r="G89" s="25" t="s">
        <v>183</v>
      </c>
      <c r="H89" s="25" t="s">
        <v>443</v>
      </c>
      <c r="I89" s="27">
        <v>43652</v>
      </c>
      <c r="K89" s="27">
        <v>43713</v>
      </c>
      <c r="L89" s="26">
        <v>-148584</v>
      </c>
      <c r="M89" s="25">
        <v>2000324561</v>
      </c>
      <c r="N89" s="25" t="s">
        <v>583</v>
      </c>
      <c r="O89" s="25" t="s">
        <v>180</v>
      </c>
      <c r="P89" s="26">
        <v>269</v>
      </c>
      <c r="Q89" s="25" t="s">
        <v>189</v>
      </c>
      <c r="R89" s="25" t="s">
        <v>421</v>
      </c>
      <c r="S89" s="25" t="s">
        <v>177</v>
      </c>
      <c r="T89" s="25" t="s">
        <v>176</v>
      </c>
      <c r="U89" s="25" t="s">
        <v>175</v>
      </c>
      <c r="V89" s="32" t="s">
        <v>1736</v>
      </c>
    </row>
    <row r="90" spans="1:22" x14ac:dyDescent="0.2">
      <c r="A90" s="28"/>
      <c r="B90" s="25" t="s">
        <v>582</v>
      </c>
      <c r="C90" s="25">
        <v>14003145</v>
      </c>
      <c r="D90" s="25" t="s">
        <v>581</v>
      </c>
      <c r="E90" s="25" t="s">
        <v>185</v>
      </c>
      <c r="F90" s="25" t="s">
        <v>580</v>
      </c>
      <c r="G90" s="25" t="s">
        <v>183</v>
      </c>
      <c r="H90" s="25" t="s">
        <v>579</v>
      </c>
      <c r="I90" s="27">
        <v>43655</v>
      </c>
      <c r="K90" s="27">
        <v>43713</v>
      </c>
      <c r="L90" s="26">
        <v>-238922</v>
      </c>
      <c r="M90" s="25">
        <v>2000324561</v>
      </c>
      <c r="N90" s="25" t="s">
        <v>578</v>
      </c>
      <c r="O90" s="25" t="s">
        <v>180</v>
      </c>
      <c r="P90" s="26">
        <v>269</v>
      </c>
      <c r="Q90" s="25" t="s">
        <v>189</v>
      </c>
      <c r="R90" s="25" t="s">
        <v>421</v>
      </c>
      <c r="S90" s="25" t="s">
        <v>177</v>
      </c>
      <c r="T90" s="25" t="s">
        <v>176</v>
      </c>
      <c r="U90" s="25" t="s">
        <v>175</v>
      </c>
      <c r="V90" s="32" t="s">
        <v>1736</v>
      </c>
    </row>
    <row r="91" spans="1:22" x14ac:dyDescent="0.2">
      <c r="A91" s="28"/>
      <c r="B91" s="25" t="s">
        <v>577</v>
      </c>
      <c r="C91" s="25">
        <v>14011373</v>
      </c>
      <c r="D91" s="25" t="s">
        <v>576</v>
      </c>
      <c r="E91" s="25" t="s">
        <v>185</v>
      </c>
      <c r="F91" s="25" t="s">
        <v>575</v>
      </c>
      <c r="G91" s="25" t="s">
        <v>183</v>
      </c>
      <c r="H91" s="25" t="s">
        <v>574</v>
      </c>
      <c r="I91" s="27">
        <v>43662</v>
      </c>
      <c r="K91" s="27">
        <v>43709</v>
      </c>
      <c r="L91" s="26">
        <v>-123630</v>
      </c>
      <c r="M91" s="25">
        <v>2000324561</v>
      </c>
      <c r="N91" s="25" t="s">
        <v>573</v>
      </c>
      <c r="O91" s="25" t="s">
        <v>180</v>
      </c>
      <c r="P91" s="26">
        <v>269</v>
      </c>
      <c r="Q91" s="25" t="s">
        <v>189</v>
      </c>
      <c r="R91" s="25" t="s">
        <v>572</v>
      </c>
      <c r="S91" s="25" t="s">
        <v>177</v>
      </c>
      <c r="T91" s="25" t="s">
        <v>176</v>
      </c>
      <c r="U91" s="25" t="s">
        <v>175</v>
      </c>
      <c r="V91" s="32" t="s">
        <v>1736</v>
      </c>
    </row>
    <row r="92" spans="1:22" x14ac:dyDescent="0.2">
      <c r="A92" s="28"/>
      <c r="B92" s="25" t="s">
        <v>571</v>
      </c>
      <c r="C92" s="25" t="s">
        <v>571</v>
      </c>
      <c r="D92" s="32" t="s">
        <v>570</v>
      </c>
      <c r="E92" s="25" t="s">
        <v>185</v>
      </c>
      <c r="F92" s="25" t="s">
        <v>569</v>
      </c>
      <c r="G92" s="25" t="s">
        <v>276</v>
      </c>
      <c r="H92" s="25" t="s">
        <v>294</v>
      </c>
      <c r="I92" s="27">
        <v>43973</v>
      </c>
      <c r="K92" s="27">
        <v>43973</v>
      </c>
      <c r="L92" s="26">
        <v>3700578</v>
      </c>
      <c r="M92" s="25">
        <v>2000324561</v>
      </c>
      <c r="N92" s="25" t="s">
        <v>568</v>
      </c>
      <c r="O92" s="25" t="s">
        <v>271</v>
      </c>
      <c r="P92" s="26">
        <v>8</v>
      </c>
      <c r="Q92" s="25" t="s">
        <v>292</v>
      </c>
      <c r="R92" s="25" t="s">
        <v>567</v>
      </c>
      <c r="S92" s="25" t="s">
        <v>177</v>
      </c>
      <c r="T92" s="25" t="s">
        <v>176</v>
      </c>
      <c r="U92" s="25" t="s">
        <v>175</v>
      </c>
      <c r="V92" s="32" t="s">
        <v>1736</v>
      </c>
    </row>
    <row r="93" spans="1:22" x14ac:dyDescent="0.2">
      <c r="A93" s="28"/>
      <c r="B93" s="25" t="s">
        <v>566</v>
      </c>
      <c r="C93" s="25">
        <v>13791092</v>
      </c>
      <c r="D93" s="25" t="s">
        <v>565</v>
      </c>
      <c r="E93" s="25" t="s">
        <v>312</v>
      </c>
      <c r="F93" s="25" t="s">
        <v>564</v>
      </c>
      <c r="G93" s="25" t="s">
        <v>553</v>
      </c>
      <c r="H93" s="25" t="s">
        <v>559</v>
      </c>
      <c r="I93" s="27">
        <v>43629</v>
      </c>
      <c r="K93" s="27">
        <v>43643</v>
      </c>
      <c r="L93" s="26">
        <v>-78800</v>
      </c>
      <c r="M93" s="25">
        <v>2000324561</v>
      </c>
      <c r="N93" s="25" t="s">
        <v>563</v>
      </c>
      <c r="O93" s="25" t="s">
        <v>180</v>
      </c>
      <c r="P93" s="26">
        <v>278</v>
      </c>
      <c r="Q93" s="25" t="s">
        <v>557</v>
      </c>
      <c r="R93" s="25" t="s">
        <v>556</v>
      </c>
      <c r="S93" s="25" t="s">
        <v>177</v>
      </c>
      <c r="T93" s="25" t="s">
        <v>176</v>
      </c>
      <c r="U93" s="25" t="s">
        <v>175</v>
      </c>
      <c r="V93" s="32" t="s">
        <v>1736</v>
      </c>
    </row>
    <row r="94" spans="1:22" x14ac:dyDescent="0.2">
      <c r="A94" s="28"/>
      <c r="B94" s="25" t="s">
        <v>562</v>
      </c>
      <c r="C94" s="25">
        <v>13802351</v>
      </c>
      <c r="D94" s="25" t="s">
        <v>561</v>
      </c>
      <c r="E94" s="25" t="s">
        <v>312</v>
      </c>
      <c r="F94" s="25" t="s">
        <v>560</v>
      </c>
      <c r="G94" s="25" t="s">
        <v>553</v>
      </c>
      <c r="H94" s="25" t="s">
        <v>559</v>
      </c>
      <c r="I94" s="27">
        <v>43629</v>
      </c>
      <c r="K94" s="27">
        <v>43643</v>
      </c>
      <c r="L94" s="26">
        <v>-1432443</v>
      </c>
      <c r="M94" s="25">
        <v>2000324561</v>
      </c>
      <c r="N94" s="25" t="s">
        <v>558</v>
      </c>
      <c r="O94" s="25" t="s">
        <v>180</v>
      </c>
      <c r="P94" s="26">
        <v>278</v>
      </c>
      <c r="Q94" s="25" t="s">
        <v>557</v>
      </c>
      <c r="R94" s="25" t="s">
        <v>556</v>
      </c>
      <c r="S94" s="25" t="s">
        <v>177</v>
      </c>
      <c r="T94" s="25" t="s">
        <v>176</v>
      </c>
      <c r="U94" s="25" t="s">
        <v>175</v>
      </c>
      <c r="V94" s="32" t="s">
        <v>1736</v>
      </c>
    </row>
    <row r="95" spans="1:22" x14ac:dyDescent="0.2">
      <c r="A95" s="28"/>
      <c r="B95" s="25" t="s">
        <v>649</v>
      </c>
      <c r="C95" s="25">
        <v>14035526</v>
      </c>
      <c r="D95" s="25" t="s">
        <v>508</v>
      </c>
      <c r="E95" s="25" t="s">
        <v>312</v>
      </c>
      <c r="F95" s="25" t="s">
        <v>648</v>
      </c>
      <c r="G95" s="25" t="s">
        <v>183</v>
      </c>
      <c r="H95" s="25" t="s">
        <v>219</v>
      </c>
      <c r="I95" s="27">
        <v>43683</v>
      </c>
      <c r="K95" s="27">
        <v>43924</v>
      </c>
      <c r="L95" s="26">
        <v>-6600</v>
      </c>
      <c r="M95" s="25">
        <v>2000299817</v>
      </c>
      <c r="N95" s="25" t="s">
        <v>609</v>
      </c>
      <c r="O95" s="25" t="s">
        <v>180</v>
      </c>
      <c r="P95" s="26">
        <v>193</v>
      </c>
      <c r="Q95" s="25" t="s">
        <v>557</v>
      </c>
      <c r="R95" s="25" t="s">
        <v>491</v>
      </c>
      <c r="S95" s="25" t="s">
        <v>177</v>
      </c>
      <c r="T95" s="25" t="s">
        <v>176</v>
      </c>
      <c r="U95" s="25" t="s">
        <v>175</v>
      </c>
      <c r="V95" s="32" t="s">
        <v>1735</v>
      </c>
    </row>
    <row r="96" spans="1:22" x14ac:dyDescent="0.2">
      <c r="A96" s="28"/>
      <c r="B96" s="25" t="s">
        <v>611</v>
      </c>
      <c r="C96" s="25">
        <v>14071197</v>
      </c>
      <c r="D96" s="25" t="s">
        <v>508</v>
      </c>
      <c r="E96" s="25" t="s">
        <v>312</v>
      </c>
      <c r="F96" s="25" t="s">
        <v>610</v>
      </c>
      <c r="G96" s="25" t="s">
        <v>183</v>
      </c>
      <c r="H96" s="25" t="s">
        <v>219</v>
      </c>
      <c r="I96" s="27">
        <v>43719</v>
      </c>
      <c r="K96" s="27">
        <v>43936</v>
      </c>
      <c r="L96" s="26">
        <v>-139042</v>
      </c>
      <c r="M96" s="25">
        <v>2000299817</v>
      </c>
      <c r="N96" s="25" t="s">
        <v>647</v>
      </c>
      <c r="O96" s="25" t="s">
        <v>180</v>
      </c>
      <c r="P96" s="26">
        <v>89</v>
      </c>
      <c r="Q96" s="25" t="s">
        <v>179</v>
      </c>
      <c r="R96" s="25" t="s">
        <v>491</v>
      </c>
      <c r="S96" s="25" t="s">
        <v>177</v>
      </c>
      <c r="T96" s="25" t="s">
        <v>176</v>
      </c>
      <c r="U96" s="25" t="s">
        <v>175</v>
      </c>
      <c r="V96" s="32" t="s">
        <v>1735</v>
      </c>
    </row>
    <row r="97" spans="1:22" x14ac:dyDescent="0.2">
      <c r="A97" s="28"/>
      <c r="B97" s="25" t="s">
        <v>646</v>
      </c>
      <c r="C97" s="25">
        <v>14080983</v>
      </c>
      <c r="D97" s="25" t="s">
        <v>508</v>
      </c>
      <c r="E97" s="25" t="s">
        <v>312</v>
      </c>
      <c r="F97" s="25" t="s">
        <v>645</v>
      </c>
      <c r="G97" s="25" t="s">
        <v>183</v>
      </c>
      <c r="H97" s="25" t="s">
        <v>219</v>
      </c>
      <c r="I97" s="27">
        <v>43727</v>
      </c>
      <c r="K97" s="27">
        <v>43862</v>
      </c>
      <c r="L97" s="26">
        <v>-113400</v>
      </c>
      <c r="M97" s="25">
        <v>2000299817</v>
      </c>
      <c r="N97" s="25" t="s">
        <v>327</v>
      </c>
      <c r="O97" s="25" t="s">
        <v>180</v>
      </c>
      <c r="P97" s="26">
        <v>89</v>
      </c>
      <c r="Q97" s="25" t="s">
        <v>179</v>
      </c>
      <c r="R97" s="25" t="s">
        <v>491</v>
      </c>
      <c r="S97" s="25" t="s">
        <v>177</v>
      </c>
      <c r="T97" s="25" t="s">
        <v>176</v>
      </c>
      <c r="U97" s="25" t="s">
        <v>175</v>
      </c>
      <c r="V97" s="32" t="s">
        <v>1735</v>
      </c>
    </row>
    <row r="98" spans="1:22" x14ac:dyDescent="0.2">
      <c r="A98" s="28"/>
      <c r="B98" s="25" t="s">
        <v>644</v>
      </c>
      <c r="C98" s="25">
        <v>14080988</v>
      </c>
      <c r="D98" s="25" t="s">
        <v>508</v>
      </c>
      <c r="E98" s="25" t="s">
        <v>312</v>
      </c>
      <c r="F98" s="25" t="s">
        <v>643</v>
      </c>
      <c r="G98" s="25" t="s">
        <v>183</v>
      </c>
      <c r="H98" s="25" t="s">
        <v>219</v>
      </c>
      <c r="I98" s="27">
        <v>43727</v>
      </c>
      <c r="K98" s="27">
        <v>43862</v>
      </c>
      <c r="L98" s="26">
        <v>-148500</v>
      </c>
      <c r="M98" s="25">
        <v>2000299817</v>
      </c>
      <c r="N98" s="25" t="s">
        <v>327</v>
      </c>
      <c r="O98" s="25" t="s">
        <v>180</v>
      </c>
      <c r="P98" s="26">
        <v>89</v>
      </c>
      <c r="Q98" s="25" t="s">
        <v>179</v>
      </c>
      <c r="R98" s="25" t="s">
        <v>491</v>
      </c>
      <c r="S98" s="25" t="s">
        <v>177</v>
      </c>
      <c r="T98" s="25" t="s">
        <v>176</v>
      </c>
      <c r="U98" s="25" t="s">
        <v>175</v>
      </c>
      <c r="V98" s="32" t="s">
        <v>1735</v>
      </c>
    </row>
    <row r="99" spans="1:22" x14ac:dyDescent="0.2">
      <c r="A99" s="28"/>
      <c r="B99" s="25" t="s">
        <v>642</v>
      </c>
      <c r="C99" s="25">
        <v>14085241</v>
      </c>
      <c r="D99" s="25" t="s">
        <v>508</v>
      </c>
      <c r="E99" s="25" t="s">
        <v>312</v>
      </c>
      <c r="F99" s="25" t="s">
        <v>641</v>
      </c>
      <c r="G99" s="25" t="s">
        <v>183</v>
      </c>
      <c r="H99" s="25" t="s">
        <v>219</v>
      </c>
      <c r="I99" s="27">
        <v>43732</v>
      </c>
      <c r="K99" s="27">
        <v>43862</v>
      </c>
      <c r="L99" s="26">
        <v>-47800</v>
      </c>
      <c r="M99" s="25">
        <v>2000299817</v>
      </c>
      <c r="N99" s="25" t="s">
        <v>327</v>
      </c>
      <c r="O99" s="25" t="s">
        <v>180</v>
      </c>
      <c r="P99" s="26">
        <v>89</v>
      </c>
      <c r="Q99" s="25" t="s">
        <v>179</v>
      </c>
      <c r="R99" s="25" t="s">
        <v>491</v>
      </c>
      <c r="S99" s="25" t="s">
        <v>177</v>
      </c>
      <c r="T99" s="25" t="s">
        <v>176</v>
      </c>
      <c r="U99" s="25" t="s">
        <v>175</v>
      </c>
      <c r="V99" s="32" t="s">
        <v>1735</v>
      </c>
    </row>
    <row r="100" spans="1:22" x14ac:dyDescent="0.2">
      <c r="A100" s="28"/>
      <c r="B100" s="25" t="s">
        <v>640</v>
      </c>
      <c r="C100" s="25">
        <v>14092291</v>
      </c>
      <c r="D100" s="25" t="s">
        <v>508</v>
      </c>
      <c r="E100" s="25" t="s">
        <v>312</v>
      </c>
      <c r="F100" s="25" t="s">
        <v>639</v>
      </c>
      <c r="G100" s="25" t="s">
        <v>183</v>
      </c>
      <c r="H100" s="25" t="s">
        <v>219</v>
      </c>
      <c r="I100" s="27">
        <v>43738</v>
      </c>
      <c r="K100" s="27">
        <v>43862</v>
      </c>
      <c r="L100" s="26">
        <v>-152600</v>
      </c>
      <c r="M100" s="25">
        <v>2000299817</v>
      </c>
      <c r="N100" s="25" t="s">
        <v>327</v>
      </c>
      <c r="O100" s="25" t="s">
        <v>180</v>
      </c>
      <c r="P100" s="26">
        <v>89</v>
      </c>
      <c r="Q100" s="25" t="s">
        <v>179</v>
      </c>
      <c r="R100" s="25" t="s">
        <v>491</v>
      </c>
      <c r="S100" s="25" t="s">
        <v>177</v>
      </c>
      <c r="T100" s="25" t="s">
        <v>176</v>
      </c>
      <c r="U100" s="25" t="s">
        <v>175</v>
      </c>
      <c r="V100" s="32" t="s">
        <v>1735</v>
      </c>
    </row>
    <row r="101" spans="1:22" x14ac:dyDescent="0.2">
      <c r="A101" s="28"/>
      <c r="B101" s="25" t="s">
        <v>638</v>
      </c>
      <c r="C101" s="25">
        <v>14092450</v>
      </c>
      <c r="D101" s="25" t="s">
        <v>508</v>
      </c>
      <c r="E101" s="25" t="s">
        <v>312</v>
      </c>
      <c r="F101" s="25" t="s">
        <v>637</v>
      </c>
      <c r="G101" s="25" t="s">
        <v>183</v>
      </c>
      <c r="H101" s="25" t="s">
        <v>258</v>
      </c>
      <c r="I101" s="27">
        <v>43738</v>
      </c>
      <c r="K101" s="27">
        <v>43862</v>
      </c>
      <c r="L101" s="26">
        <v>-47800</v>
      </c>
      <c r="M101" s="25">
        <v>2000299817</v>
      </c>
      <c r="N101" s="25" t="s">
        <v>335</v>
      </c>
      <c r="O101" s="25" t="s">
        <v>180</v>
      </c>
      <c r="P101" s="26">
        <v>89</v>
      </c>
      <c r="Q101" s="25" t="s">
        <v>179</v>
      </c>
      <c r="R101" s="25" t="s">
        <v>491</v>
      </c>
      <c r="S101" s="25" t="s">
        <v>177</v>
      </c>
      <c r="T101" s="25" t="s">
        <v>176</v>
      </c>
      <c r="U101" s="25" t="s">
        <v>175</v>
      </c>
      <c r="V101" s="32" t="s">
        <v>1735</v>
      </c>
    </row>
    <row r="102" spans="1:22" x14ac:dyDescent="0.2">
      <c r="A102" s="28"/>
      <c r="B102" s="25" t="s">
        <v>636</v>
      </c>
      <c r="C102" s="25">
        <v>14128886</v>
      </c>
      <c r="D102" s="25" t="s">
        <v>508</v>
      </c>
      <c r="E102" s="25" t="s">
        <v>312</v>
      </c>
      <c r="F102" s="25" t="s">
        <v>635</v>
      </c>
      <c r="G102" s="25" t="s">
        <v>183</v>
      </c>
      <c r="H102" s="25" t="s">
        <v>258</v>
      </c>
      <c r="I102" s="27">
        <v>43771</v>
      </c>
      <c r="K102" s="27">
        <v>43862</v>
      </c>
      <c r="L102" s="26">
        <v>-183900</v>
      </c>
      <c r="M102" s="25">
        <v>2000299817</v>
      </c>
      <c r="N102" s="25" t="s">
        <v>335</v>
      </c>
      <c r="O102" s="25" t="s">
        <v>180</v>
      </c>
      <c r="P102" s="26">
        <v>89</v>
      </c>
      <c r="Q102" s="25" t="s">
        <v>179</v>
      </c>
      <c r="R102" s="25" t="s">
        <v>491</v>
      </c>
      <c r="S102" s="25" t="s">
        <v>177</v>
      </c>
      <c r="T102" s="25" t="s">
        <v>176</v>
      </c>
      <c r="U102" s="25" t="s">
        <v>175</v>
      </c>
      <c r="V102" s="32" t="s">
        <v>1735</v>
      </c>
    </row>
    <row r="103" spans="1:22" x14ac:dyDescent="0.2">
      <c r="A103" s="28"/>
      <c r="B103" s="25" t="s">
        <v>634</v>
      </c>
      <c r="C103" s="25">
        <v>14141346</v>
      </c>
      <c r="D103" s="25" t="s">
        <v>508</v>
      </c>
      <c r="E103" s="25" t="s">
        <v>312</v>
      </c>
      <c r="F103" s="25" t="s">
        <v>633</v>
      </c>
      <c r="G103" s="25" t="s">
        <v>183</v>
      </c>
      <c r="H103" s="25" t="s">
        <v>219</v>
      </c>
      <c r="I103" s="27">
        <v>43784</v>
      </c>
      <c r="K103" s="27">
        <v>43924</v>
      </c>
      <c r="L103" s="26">
        <v>-23805</v>
      </c>
      <c r="M103" s="25">
        <v>2000299817</v>
      </c>
      <c r="N103" s="25" t="s">
        <v>609</v>
      </c>
      <c r="O103" s="25" t="s">
        <v>180</v>
      </c>
      <c r="P103" s="26">
        <v>92</v>
      </c>
      <c r="Q103" s="25" t="s">
        <v>557</v>
      </c>
      <c r="R103" s="25" t="s">
        <v>491</v>
      </c>
      <c r="S103" s="25" t="s">
        <v>177</v>
      </c>
      <c r="T103" s="25" t="s">
        <v>176</v>
      </c>
      <c r="U103" s="25" t="s">
        <v>175</v>
      </c>
      <c r="V103" s="32" t="s">
        <v>1735</v>
      </c>
    </row>
    <row r="104" spans="1:22" x14ac:dyDescent="0.2">
      <c r="A104" s="28"/>
      <c r="B104" s="25" t="s">
        <v>632</v>
      </c>
      <c r="C104" s="25">
        <v>14142132</v>
      </c>
      <c r="D104" s="25" t="s">
        <v>508</v>
      </c>
      <c r="E104" s="25" t="s">
        <v>312</v>
      </c>
      <c r="F104" s="25" t="s">
        <v>631</v>
      </c>
      <c r="G104" s="25" t="s">
        <v>183</v>
      </c>
      <c r="H104" s="25" t="s">
        <v>258</v>
      </c>
      <c r="I104" s="27">
        <v>43785</v>
      </c>
      <c r="K104" s="27">
        <v>43862</v>
      </c>
      <c r="L104" s="26">
        <v>-47800</v>
      </c>
      <c r="M104" s="25">
        <v>2000299817</v>
      </c>
      <c r="N104" s="25" t="s">
        <v>335</v>
      </c>
      <c r="O104" s="25" t="s">
        <v>180</v>
      </c>
      <c r="P104" s="26">
        <v>89</v>
      </c>
      <c r="Q104" s="25" t="s">
        <v>179</v>
      </c>
      <c r="R104" s="25" t="s">
        <v>491</v>
      </c>
      <c r="S104" s="25" t="s">
        <v>177</v>
      </c>
      <c r="T104" s="25" t="s">
        <v>176</v>
      </c>
      <c r="U104" s="25" t="s">
        <v>175</v>
      </c>
      <c r="V104" s="32" t="s">
        <v>1735</v>
      </c>
    </row>
    <row r="105" spans="1:22" x14ac:dyDescent="0.2">
      <c r="A105" s="28"/>
      <c r="B105" s="25" t="s">
        <v>630</v>
      </c>
      <c r="C105" s="25">
        <v>14180002</v>
      </c>
      <c r="D105" s="25" t="s">
        <v>395</v>
      </c>
      <c r="E105" s="25" t="s">
        <v>312</v>
      </c>
      <c r="F105" s="25" t="s">
        <v>629</v>
      </c>
      <c r="G105" s="25" t="s">
        <v>183</v>
      </c>
      <c r="H105" s="25" t="s">
        <v>332</v>
      </c>
      <c r="I105" s="27">
        <v>43857</v>
      </c>
      <c r="K105" s="27">
        <v>43924</v>
      </c>
      <c r="L105" s="26">
        <v>-9650</v>
      </c>
      <c r="M105" s="25">
        <v>2000299817</v>
      </c>
      <c r="N105" s="25" t="s">
        <v>628</v>
      </c>
      <c r="O105" s="25" t="s">
        <v>180</v>
      </c>
      <c r="P105" s="26">
        <v>384</v>
      </c>
      <c r="Q105" s="25" t="s">
        <v>557</v>
      </c>
      <c r="R105" s="25" t="s">
        <v>370</v>
      </c>
      <c r="S105" s="25" t="s">
        <v>177</v>
      </c>
      <c r="T105" s="25" t="s">
        <v>176</v>
      </c>
      <c r="U105" s="25" t="s">
        <v>175</v>
      </c>
      <c r="V105" s="32" t="s">
        <v>1735</v>
      </c>
    </row>
    <row r="106" spans="1:22" x14ac:dyDescent="0.2">
      <c r="A106" s="28"/>
      <c r="B106" s="25" t="s">
        <v>627</v>
      </c>
      <c r="C106" s="25">
        <v>14010076</v>
      </c>
      <c r="D106" s="25" t="s">
        <v>222</v>
      </c>
      <c r="E106" s="25" t="s">
        <v>185</v>
      </c>
      <c r="F106" s="25" t="s">
        <v>626</v>
      </c>
      <c r="G106" s="25" t="s">
        <v>553</v>
      </c>
      <c r="H106" s="25" t="s">
        <v>258</v>
      </c>
      <c r="I106" s="27">
        <v>43661</v>
      </c>
      <c r="K106" s="27">
        <v>43830</v>
      </c>
      <c r="L106" s="26">
        <v>-227751</v>
      </c>
      <c r="M106" s="25">
        <v>2000299817</v>
      </c>
      <c r="N106" s="25" t="s">
        <v>625</v>
      </c>
      <c r="O106" s="25" t="s">
        <v>180</v>
      </c>
      <c r="P106" s="26">
        <v>224</v>
      </c>
      <c r="Q106" s="25" t="s">
        <v>179</v>
      </c>
      <c r="R106" s="25" t="s">
        <v>217</v>
      </c>
      <c r="S106" s="25" t="s">
        <v>177</v>
      </c>
      <c r="T106" s="25" t="s">
        <v>176</v>
      </c>
      <c r="U106" s="25" t="s">
        <v>175</v>
      </c>
      <c r="V106" s="32" t="s">
        <v>1735</v>
      </c>
    </row>
    <row r="107" spans="1:22" x14ac:dyDescent="0.2">
      <c r="A107" s="28"/>
      <c r="B107" s="25" t="s">
        <v>624</v>
      </c>
      <c r="C107" s="25">
        <v>14017815</v>
      </c>
      <c r="D107" s="25" t="s">
        <v>222</v>
      </c>
      <c r="E107" s="25" t="s">
        <v>185</v>
      </c>
      <c r="F107" s="25" t="s">
        <v>623</v>
      </c>
      <c r="G107" s="25" t="s">
        <v>553</v>
      </c>
      <c r="H107" s="25" t="s">
        <v>219</v>
      </c>
      <c r="I107" s="27">
        <v>43669</v>
      </c>
      <c r="K107" s="27">
        <v>43924</v>
      </c>
      <c r="L107" s="26">
        <v>-55448</v>
      </c>
      <c r="M107" s="25">
        <v>2000299817</v>
      </c>
      <c r="N107" s="25" t="s">
        <v>622</v>
      </c>
      <c r="O107" s="25" t="s">
        <v>180</v>
      </c>
      <c r="P107" s="26">
        <v>224</v>
      </c>
      <c r="Q107" s="25" t="s">
        <v>557</v>
      </c>
      <c r="R107" s="25" t="s">
        <v>621</v>
      </c>
      <c r="S107" s="25" t="s">
        <v>177</v>
      </c>
      <c r="T107" s="25" t="s">
        <v>176</v>
      </c>
      <c r="U107" s="25" t="s">
        <v>175</v>
      </c>
      <c r="V107" s="32" t="s">
        <v>1735</v>
      </c>
    </row>
    <row r="108" spans="1:22" x14ac:dyDescent="0.2">
      <c r="A108" s="28"/>
      <c r="B108" s="25" t="s">
        <v>620</v>
      </c>
      <c r="C108" s="25" t="s">
        <v>620</v>
      </c>
      <c r="D108" s="32" t="s">
        <v>570</v>
      </c>
      <c r="E108" s="25" t="s">
        <v>185</v>
      </c>
      <c r="F108" s="25" t="s">
        <v>619</v>
      </c>
      <c r="G108" s="25" t="s">
        <v>276</v>
      </c>
      <c r="H108" s="25" t="s">
        <v>294</v>
      </c>
      <c r="I108" s="27">
        <v>43924</v>
      </c>
      <c r="K108" s="27">
        <v>43924</v>
      </c>
      <c r="L108" s="26">
        <v>1204096</v>
      </c>
      <c r="M108" s="25">
        <v>2000299817</v>
      </c>
      <c r="N108" s="25" t="s">
        <v>618</v>
      </c>
      <c r="O108" s="25" t="s">
        <v>271</v>
      </c>
      <c r="P108" s="26">
        <v>12</v>
      </c>
      <c r="Q108" s="25" t="s">
        <v>292</v>
      </c>
      <c r="R108" s="25" t="s">
        <v>570</v>
      </c>
      <c r="S108" s="25" t="s">
        <v>177</v>
      </c>
      <c r="T108" s="25" t="s">
        <v>176</v>
      </c>
      <c r="U108" s="25" t="s">
        <v>175</v>
      </c>
      <c r="V108" s="32" t="s">
        <v>1735</v>
      </c>
    </row>
    <row r="109" spans="1:22" x14ac:dyDescent="0.2">
      <c r="A109" s="28"/>
      <c r="B109" s="25" t="s">
        <v>667</v>
      </c>
      <c r="C109" s="25">
        <v>14107382</v>
      </c>
      <c r="D109" s="25" t="s">
        <v>666</v>
      </c>
      <c r="E109" s="25" t="s">
        <v>185</v>
      </c>
      <c r="F109" s="25" t="s">
        <v>665</v>
      </c>
      <c r="G109" s="25" t="s">
        <v>183</v>
      </c>
      <c r="H109" s="25" t="s">
        <v>656</v>
      </c>
      <c r="I109" s="27">
        <v>43753</v>
      </c>
      <c r="K109" s="27">
        <v>43924</v>
      </c>
      <c r="L109" s="26">
        <v>-256011</v>
      </c>
      <c r="M109" s="25">
        <v>2000289506</v>
      </c>
      <c r="N109" s="25" t="s">
        <v>661</v>
      </c>
      <c r="O109" s="25" t="s">
        <v>180</v>
      </c>
      <c r="P109" s="26">
        <v>77</v>
      </c>
      <c r="Q109" s="25" t="s">
        <v>557</v>
      </c>
      <c r="R109" s="25" t="s">
        <v>244</v>
      </c>
      <c r="S109" s="25" t="s">
        <v>177</v>
      </c>
      <c r="T109" s="25" t="s">
        <v>176</v>
      </c>
      <c r="U109" s="25" t="s">
        <v>175</v>
      </c>
      <c r="V109" s="32" t="s">
        <v>1734</v>
      </c>
    </row>
    <row r="110" spans="1:22" x14ac:dyDescent="0.2">
      <c r="A110" s="28"/>
      <c r="B110" s="25" t="s">
        <v>664</v>
      </c>
      <c r="C110" s="25">
        <v>14155696</v>
      </c>
      <c r="D110" s="25" t="s">
        <v>663</v>
      </c>
      <c r="E110" s="25" t="s">
        <v>185</v>
      </c>
      <c r="F110" s="25" t="s">
        <v>662</v>
      </c>
      <c r="G110" s="25" t="s">
        <v>183</v>
      </c>
      <c r="H110" s="25" t="s">
        <v>656</v>
      </c>
      <c r="I110" s="27">
        <v>43796</v>
      </c>
      <c r="K110" s="27">
        <v>43924</v>
      </c>
      <c r="L110" s="26">
        <v>-113894</v>
      </c>
      <c r="M110" s="25">
        <v>2000289506</v>
      </c>
      <c r="N110" s="25" t="s">
        <v>661</v>
      </c>
      <c r="O110" s="25" t="s">
        <v>180</v>
      </c>
      <c r="P110" s="26">
        <v>77</v>
      </c>
      <c r="Q110" s="25" t="s">
        <v>557</v>
      </c>
      <c r="R110" s="25" t="s">
        <v>244</v>
      </c>
      <c r="S110" s="25" t="s">
        <v>177</v>
      </c>
      <c r="T110" s="25" t="s">
        <v>176</v>
      </c>
      <c r="U110" s="25" t="s">
        <v>175</v>
      </c>
      <c r="V110" s="32" t="s">
        <v>1734</v>
      </c>
    </row>
    <row r="111" spans="1:22" x14ac:dyDescent="0.2">
      <c r="A111" s="28"/>
      <c r="B111" s="25" t="s">
        <v>604</v>
      </c>
      <c r="C111" s="25">
        <v>13987467</v>
      </c>
      <c r="D111" s="25" t="s">
        <v>603</v>
      </c>
      <c r="E111" s="25" t="s">
        <v>185</v>
      </c>
      <c r="F111" s="25" t="s">
        <v>602</v>
      </c>
      <c r="G111" s="25" t="s">
        <v>553</v>
      </c>
      <c r="H111" s="25" t="s">
        <v>246</v>
      </c>
      <c r="I111" s="27">
        <v>43640</v>
      </c>
      <c r="K111" s="27">
        <v>43924</v>
      </c>
      <c r="L111" s="26">
        <v>-88720</v>
      </c>
      <c r="M111" s="25">
        <v>2000289506</v>
      </c>
      <c r="N111" s="25" t="s">
        <v>659</v>
      </c>
      <c r="O111" s="25" t="s">
        <v>180</v>
      </c>
      <c r="P111" s="26">
        <v>224</v>
      </c>
      <c r="Q111" s="25" t="s">
        <v>557</v>
      </c>
      <c r="R111" s="25" t="s">
        <v>600</v>
      </c>
      <c r="S111" s="25" t="s">
        <v>177</v>
      </c>
      <c r="T111" s="25" t="s">
        <v>176</v>
      </c>
      <c r="U111" s="25" t="s">
        <v>175</v>
      </c>
      <c r="V111" s="32" t="s">
        <v>1734</v>
      </c>
    </row>
    <row r="112" spans="1:22" x14ac:dyDescent="0.2">
      <c r="A112" s="28"/>
      <c r="B112" s="25" t="s">
        <v>658</v>
      </c>
      <c r="C112" s="25">
        <v>13964124</v>
      </c>
      <c r="D112" s="25" t="s">
        <v>603</v>
      </c>
      <c r="E112" s="25" t="s">
        <v>185</v>
      </c>
      <c r="F112" s="25" t="s">
        <v>657</v>
      </c>
      <c r="G112" s="25" t="s">
        <v>183</v>
      </c>
      <c r="H112" s="25" t="s">
        <v>656</v>
      </c>
      <c r="I112" s="27">
        <v>43620</v>
      </c>
      <c r="K112" s="27">
        <v>43710</v>
      </c>
      <c r="L112" s="26">
        <v>-54871</v>
      </c>
      <c r="M112" s="25">
        <v>2000289506</v>
      </c>
      <c r="N112" s="25" t="s">
        <v>655</v>
      </c>
      <c r="O112" s="25" t="s">
        <v>180</v>
      </c>
      <c r="P112" s="26">
        <v>212</v>
      </c>
      <c r="Q112" s="25" t="s">
        <v>189</v>
      </c>
      <c r="R112" s="25" t="s">
        <v>244</v>
      </c>
      <c r="S112" s="25" t="s">
        <v>177</v>
      </c>
      <c r="T112" s="25" t="s">
        <v>176</v>
      </c>
      <c r="U112" s="25" t="s">
        <v>175</v>
      </c>
      <c r="V112" s="32" t="s">
        <v>1734</v>
      </c>
    </row>
    <row r="113" spans="1:22" x14ac:dyDescent="0.2">
      <c r="A113" s="28"/>
      <c r="B113" s="25" t="s">
        <v>654</v>
      </c>
      <c r="C113" s="25" t="s">
        <v>654</v>
      </c>
      <c r="D113" s="32" t="s">
        <v>650</v>
      </c>
      <c r="E113" s="25" t="s">
        <v>185</v>
      </c>
      <c r="F113" s="25" t="s">
        <v>653</v>
      </c>
      <c r="G113" s="25" t="s">
        <v>276</v>
      </c>
      <c r="H113" s="25" t="s">
        <v>652</v>
      </c>
      <c r="I113" s="27">
        <v>43896</v>
      </c>
      <c r="K113" s="27">
        <v>43896</v>
      </c>
      <c r="L113" s="26">
        <v>513496</v>
      </c>
      <c r="M113" s="25">
        <v>2000289506</v>
      </c>
      <c r="N113" s="25" t="s">
        <v>651</v>
      </c>
      <c r="O113" s="25" t="s">
        <v>271</v>
      </c>
      <c r="P113" s="26">
        <v>28</v>
      </c>
      <c r="Q113" s="25" t="s">
        <v>292</v>
      </c>
      <c r="R113" s="25" t="s">
        <v>650</v>
      </c>
      <c r="S113" s="25" t="s">
        <v>177</v>
      </c>
      <c r="T113" s="25" t="s">
        <v>176</v>
      </c>
      <c r="U113" s="25" t="s">
        <v>175</v>
      </c>
      <c r="V113" s="32" t="s">
        <v>1734</v>
      </c>
    </row>
    <row r="114" spans="1:22" x14ac:dyDescent="0.2">
      <c r="A114" s="28"/>
      <c r="B114" s="25" t="s">
        <v>675</v>
      </c>
      <c r="C114" s="25">
        <v>14033382</v>
      </c>
      <c r="D114" s="25" t="s">
        <v>674</v>
      </c>
      <c r="E114" s="25" t="s">
        <v>185</v>
      </c>
      <c r="F114" s="25" t="s">
        <v>673</v>
      </c>
      <c r="G114" s="25" t="s">
        <v>183</v>
      </c>
      <c r="H114" s="25" t="s">
        <v>258</v>
      </c>
      <c r="I114" s="27">
        <v>43682</v>
      </c>
      <c r="K114" s="27">
        <v>43804</v>
      </c>
      <c r="L114" s="26">
        <v>-24259</v>
      </c>
      <c r="M114" s="25">
        <v>2000289501</v>
      </c>
      <c r="N114" s="25" t="s">
        <v>672</v>
      </c>
      <c r="O114" s="25" t="s">
        <v>180</v>
      </c>
      <c r="P114" s="26">
        <v>120</v>
      </c>
      <c r="Q114" s="25" t="s">
        <v>179</v>
      </c>
      <c r="R114" s="25" t="s">
        <v>217</v>
      </c>
      <c r="S114" s="25" t="s">
        <v>177</v>
      </c>
      <c r="T114" s="25" t="s">
        <v>176</v>
      </c>
      <c r="U114" s="25" t="s">
        <v>175</v>
      </c>
      <c r="V114" s="32" t="s">
        <v>1733</v>
      </c>
    </row>
    <row r="115" spans="1:22" x14ac:dyDescent="0.2">
      <c r="A115" s="28"/>
      <c r="B115" s="25" t="s">
        <v>624</v>
      </c>
      <c r="C115" s="25">
        <v>14017815</v>
      </c>
      <c r="D115" s="25" t="s">
        <v>222</v>
      </c>
      <c r="E115" s="25" t="s">
        <v>185</v>
      </c>
      <c r="F115" s="25" t="s">
        <v>623</v>
      </c>
      <c r="G115" s="25" t="s">
        <v>553</v>
      </c>
      <c r="H115" s="25" t="s">
        <v>671</v>
      </c>
      <c r="I115" s="27">
        <v>43669</v>
      </c>
      <c r="K115" s="27">
        <v>43924</v>
      </c>
      <c r="L115" s="26">
        <v>-541352</v>
      </c>
      <c r="M115" s="25">
        <v>2000289501</v>
      </c>
      <c r="N115" s="25" t="s">
        <v>670</v>
      </c>
      <c r="O115" s="25" t="s">
        <v>180</v>
      </c>
      <c r="P115" s="26">
        <v>195</v>
      </c>
      <c r="Q115" s="25" t="s">
        <v>557</v>
      </c>
      <c r="R115" s="25" t="s">
        <v>621</v>
      </c>
      <c r="S115" s="25" t="s">
        <v>177</v>
      </c>
      <c r="T115" s="25" t="s">
        <v>176</v>
      </c>
      <c r="U115" s="25" t="s">
        <v>175</v>
      </c>
      <c r="V115" s="32" t="s">
        <v>1733</v>
      </c>
    </row>
    <row r="116" spans="1:22" x14ac:dyDescent="0.2">
      <c r="A116" s="28"/>
      <c r="B116" s="25" t="s">
        <v>669</v>
      </c>
      <c r="C116" s="25" t="s">
        <v>669</v>
      </c>
      <c r="D116" s="32" t="s">
        <v>570</v>
      </c>
      <c r="E116" s="25" t="s">
        <v>185</v>
      </c>
      <c r="F116" s="25" t="s">
        <v>668</v>
      </c>
      <c r="G116" s="25" t="s">
        <v>276</v>
      </c>
      <c r="H116" s="25" t="s">
        <v>294</v>
      </c>
      <c r="I116" s="27">
        <v>43896</v>
      </c>
      <c r="K116" s="27">
        <v>43896</v>
      </c>
      <c r="L116" s="26">
        <v>565611</v>
      </c>
      <c r="M116" s="25">
        <v>2000289501</v>
      </c>
      <c r="N116" s="25" t="s">
        <v>651</v>
      </c>
      <c r="O116" s="25" t="s">
        <v>271</v>
      </c>
      <c r="P116" s="26">
        <v>28</v>
      </c>
      <c r="Q116" s="25" t="s">
        <v>292</v>
      </c>
      <c r="R116" s="25" t="s">
        <v>570</v>
      </c>
      <c r="S116" s="25" t="s">
        <v>177</v>
      </c>
      <c r="T116" s="25" t="s">
        <v>176</v>
      </c>
      <c r="U116" s="25" t="s">
        <v>175</v>
      </c>
      <c r="V116" s="32" t="s">
        <v>1733</v>
      </c>
    </row>
    <row r="117" spans="1:22" x14ac:dyDescent="0.2">
      <c r="A117" s="28"/>
      <c r="B117" s="25" t="s">
        <v>608</v>
      </c>
      <c r="C117" s="25">
        <v>14071101</v>
      </c>
      <c r="D117" s="25" t="s">
        <v>607</v>
      </c>
      <c r="E117" s="25" t="s">
        <v>185</v>
      </c>
      <c r="F117" s="25" t="s">
        <v>606</v>
      </c>
      <c r="G117" s="25" t="s">
        <v>183</v>
      </c>
      <c r="H117" s="25" t="s">
        <v>412</v>
      </c>
      <c r="I117" s="27">
        <v>43718</v>
      </c>
      <c r="K117" s="27">
        <v>43924</v>
      </c>
      <c r="L117" s="26">
        <v>-275106</v>
      </c>
      <c r="M117" s="25">
        <v>2000289496</v>
      </c>
      <c r="N117" s="25" t="s">
        <v>681</v>
      </c>
      <c r="O117" s="25" t="s">
        <v>180</v>
      </c>
      <c r="P117" s="26">
        <v>77</v>
      </c>
      <c r="Q117" s="25" t="s">
        <v>557</v>
      </c>
      <c r="R117" s="25" t="s">
        <v>427</v>
      </c>
      <c r="S117" s="25" t="s">
        <v>177</v>
      </c>
      <c r="T117" s="25" t="s">
        <v>176</v>
      </c>
      <c r="U117" s="25" t="s">
        <v>175</v>
      </c>
    </row>
    <row r="118" spans="1:22" x14ac:dyDescent="0.2">
      <c r="A118" s="28"/>
      <c r="B118" s="25" t="s">
        <v>680</v>
      </c>
      <c r="C118" s="25" t="s">
        <v>680</v>
      </c>
      <c r="D118" s="25" t="s">
        <v>660</v>
      </c>
      <c r="E118" s="25" t="s">
        <v>185</v>
      </c>
      <c r="F118" s="25" t="s">
        <v>677</v>
      </c>
      <c r="G118" s="25" t="s">
        <v>419</v>
      </c>
      <c r="H118" s="25" t="s">
        <v>678</v>
      </c>
      <c r="I118" s="27">
        <v>43896</v>
      </c>
      <c r="K118" s="27">
        <v>43924</v>
      </c>
      <c r="L118" s="26">
        <v>0</v>
      </c>
      <c r="M118" s="25">
        <v>2000289496</v>
      </c>
      <c r="N118" s="25" t="s">
        <v>417</v>
      </c>
      <c r="O118" s="25" t="s">
        <v>271</v>
      </c>
      <c r="P118" s="26">
        <v>28</v>
      </c>
      <c r="Q118" s="25" t="s">
        <v>557</v>
      </c>
      <c r="R118" s="25" t="s">
        <v>417</v>
      </c>
      <c r="S118" s="25" t="s">
        <v>177</v>
      </c>
      <c r="T118" s="25" t="s">
        <v>176</v>
      </c>
      <c r="U118" s="25" t="s">
        <v>175</v>
      </c>
    </row>
    <row r="119" spans="1:22" x14ac:dyDescent="0.2">
      <c r="A119" s="28"/>
      <c r="B119" s="25" t="s">
        <v>680</v>
      </c>
      <c r="C119" s="25" t="s">
        <v>680</v>
      </c>
      <c r="D119" s="25" t="s">
        <v>676</v>
      </c>
      <c r="E119" s="25" t="s">
        <v>185</v>
      </c>
      <c r="F119" s="25" t="s">
        <v>679</v>
      </c>
      <c r="G119" s="25" t="s">
        <v>276</v>
      </c>
      <c r="H119" s="25" t="s">
        <v>678</v>
      </c>
      <c r="I119" s="27">
        <v>43896</v>
      </c>
      <c r="K119" s="27">
        <v>43896</v>
      </c>
      <c r="L119" s="26">
        <v>275106</v>
      </c>
      <c r="M119" s="25">
        <v>2000289496</v>
      </c>
      <c r="N119" s="25" t="s">
        <v>651</v>
      </c>
      <c r="O119" s="25" t="s">
        <v>271</v>
      </c>
      <c r="P119" s="26">
        <v>28</v>
      </c>
      <c r="Q119" s="25" t="s">
        <v>292</v>
      </c>
      <c r="R119" s="25" t="s">
        <v>676</v>
      </c>
      <c r="S119" s="25" t="s">
        <v>177</v>
      </c>
      <c r="T119" s="25" t="s">
        <v>176</v>
      </c>
      <c r="U119" s="25" t="s">
        <v>175</v>
      </c>
    </row>
    <row r="120" spans="1:22" x14ac:dyDescent="0.2">
      <c r="A120" s="28"/>
      <c r="B120" s="25" t="s">
        <v>692</v>
      </c>
      <c r="C120" s="25">
        <v>14169688</v>
      </c>
      <c r="D120" s="25" t="s">
        <v>395</v>
      </c>
      <c r="E120" s="25" t="s">
        <v>329</v>
      </c>
      <c r="F120" s="25" t="s">
        <v>691</v>
      </c>
      <c r="G120" s="25" t="s">
        <v>183</v>
      </c>
      <c r="H120" s="25" t="s">
        <v>310</v>
      </c>
      <c r="I120" s="27">
        <v>43857</v>
      </c>
      <c r="K120" s="27">
        <v>43924</v>
      </c>
      <c r="L120" s="26">
        <v>-33200</v>
      </c>
      <c r="M120" s="25">
        <v>2000289469</v>
      </c>
      <c r="N120" s="25" t="s">
        <v>327</v>
      </c>
      <c r="O120" s="25" t="s">
        <v>180</v>
      </c>
      <c r="P120" s="26">
        <v>30</v>
      </c>
      <c r="Q120" s="25" t="s">
        <v>557</v>
      </c>
      <c r="R120" s="25" t="s">
        <v>370</v>
      </c>
      <c r="S120" s="25" t="s">
        <v>177</v>
      </c>
      <c r="T120" s="25" t="s">
        <v>176</v>
      </c>
      <c r="U120" s="25" t="s">
        <v>175</v>
      </c>
      <c r="V120" s="32" t="s">
        <v>1732</v>
      </c>
    </row>
    <row r="121" spans="1:22" x14ac:dyDescent="0.2">
      <c r="A121" s="28"/>
      <c r="B121" s="25" t="s">
        <v>690</v>
      </c>
      <c r="C121" s="25">
        <v>14175038</v>
      </c>
      <c r="D121" s="25" t="s">
        <v>395</v>
      </c>
      <c r="E121" s="25" t="s">
        <v>312</v>
      </c>
      <c r="F121" s="25" t="s">
        <v>689</v>
      </c>
      <c r="G121" s="25" t="s">
        <v>183</v>
      </c>
      <c r="H121" s="25" t="s">
        <v>332</v>
      </c>
      <c r="I121" s="27">
        <v>43857</v>
      </c>
      <c r="K121" s="27">
        <v>43924</v>
      </c>
      <c r="L121" s="26">
        <v>-22600</v>
      </c>
      <c r="M121" s="25">
        <v>2000289469</v>
      </c>
      <c r="N121" s="25" t="s">
        <v>338</v>
      </c>
      <c r="O121" s="25" t="s">
        <v>180</v>
      </c>
      <c r="P121" s="26">
        <v>30</v>
      </c>
      <c r="Q121" s="25" t="s">
        <v>557</v>
      </c>
      <c r="R121" s="25" t="s">
        <v>370</v>
      </c>
      <c r="S121" s="25" t="s">
        <v>177</v>
      </c>
      <c r="T121" s="25" t="s">
        <v>176</v>
      </c>
      <c r="U121" s="25" t="s">
        <v>175</v>
      </c>
      <c r="V121" s="32" t="s">
        <v>1732</v>
      </c>
    </row>
    <row r="122" spans="1:22" x14ac:dyDescent="0.2">
      <c r="A122" s="28"/>
      <c r="B122" s="25" t="s">
        <v>688</v>
      </c>
      <c r="C122" s="25">
        <v>14175042</v>
      </c>
      <c r="D122" s="25" t="s">
        <v>395</v>
      </c>
      <c r="E122" s="25" t="s">
        <v>312</v>
      </c>
      <c r="F122" s="25" t="s">
        <v>687</v>
      </c>
      <c r="G122" s="25" t="s">
        <v>183</v>
      </c>
      <c r="H122" s="25" t="s">
        <v>332</v>
      </c>
      <c r="I122" s="27">
        <v>43857</v>
      </c>
      <c r="K122" s="27">
        <v>43924</v>
      </c>
      <c r="L122" s="26">
        <v>-22600</v>
      </c>
      <c r="M122" s="25">
        <v>2000289469</v>
      </c>
      <c r="N122" s="25" t="s">
        <v>341</v>
      </c>
      <c r="O122" s="25" t="s">
        <v>180</v>
      </c>
      <c r="P122" s="26">
        <v>30</v>
      </c>
      <c r="Q122" s="25" t="s">
        <v>557</v>
      </c>
      <c r="R122" s="25" t="s">
        <v>370</v>
      </c>
      <c r="S122" s="25" t="s">
        <v>177</v>
      </c>
      <c r="T122" s="25" t="s">
        <v>176</v>
      </c>
      <c r="U122" s="25" t="s">
        <v>175</v>
      </c>
      <c r="V122" s="32" t="s">
        <v>1732</v>
      </c>
    </row>
    <row r="123" spans="1:22" x14ac:dyDescent="0.2">
      <c r="A123" s="28"/>
      <c r="B123" s="25" t="s">
        <v>630</v>
      </c>
      <c r="C123" s="25">
        <v>14180002</v>
      </c>
      <c r="D123" s="25" t="s">
        <v>395</v>
      </c>
      <c r="E123" s="25" t="s">
        <v>312</v>
      </c>
      <c r="F123" s="25" t="s">
        <v>629</v>
      </c>
      <c r="G123" s="25" t="s">
        <v>183</v>
      </c>
      <c r="H123" s="25" t="s">
        <v>332</v>
      </c>
      <c r="I123" s="27">
        <v>43857</v>
      </c>
      <c r="K123" s="27">
        <v>43924</v>
      </c>
      <c r="L123" s="26">
        <v>-11550</v>
      </c>
      <c r="M123" s="25">
        <v>2000289469</v>
      </c>
      <c r="N123" s="25" t="s">
        <v>686</v>
      </c>
      <c r="O123" s="25" t="s">
        <v>180</v>
      </c>
      <c r="P123" s="26">
        <v>30</v>
      </c>
      <c r="Q123" s="25" t="s">
        <v>557</v>
      </c>
      <c r="R123" s="25" t="s">
        <v>370</v>
      </c>
      <c r="S123" s="25" t="s">
        <v>177</v>
      </c>
      <c r="T123" s="25" t="s">
        <v>176</v>
      </c>
      <c r="U123" s="25" t="s">
        <v>175</v>
      </c>
      <c r="V123" s="32" t="s">
        <v>1732</v>
      </c>
    </row>
    <row r="124" spans="1:22" x14ac:dyDescent="0.2">
      <c r="A124" s="28"/>
      <c r="B124" s="25" t="s">
        <v>685</v>
      </c>
      <c r="C124" s="25" t="s">
        <v>685</v>
      </c>
      <c r="D124" s="32" t="s">
        <v>682</v>
      </c>
      <c r="E124" s="25" t="s">
        <v>185</v>
      </c>
      <c r="F124" s="25" t="s">
        <v>684</v>
      </c>
      <c r="G124" s="25" t="s">
        <v>276</v>
      </c>
      <c r="H124" s="25" t="s">
        <v>683</v>
      </c>
      <c r="I124" s="27">
        <v>43896</v>
      </c>
      <c r="K124" s="27">
        <v>43896</v>
      </c>
      <c r="L124" s="26">
        <v>89950</v>
      </c>
      <c r="M124" s="25">
        <v>2000289469</v>
      </c>
      <c r="N124" s="25" t="s">
        <v>651</v>
      </c>
      <c r="O124" s="25" t="s">
        <v>271</v>
      </c>
      <c r="P124" s="26">
        <v>28</v>
      </c>
      <c r="Q124" s="25" t="s">
        <v>292</v>
      </c>
      <c r="R124" s="25" t="s">
        <v>682</v>
      </c>
      <c r="S124" s="25" t="s">
        <v>177</v>
      </c>
      <c r="T124" s="25" t="s">
        <v>176</v>
      </c>
      <c r="U124" s="25" t="s">
        <v>175</v>
      </c>
      <c r="V124" s="32" t="s">
        <v>1732</v>
      </c>
    </row>
    <row r="125" spans="1:22" x14ac:dyDescent="0.2">
      <c r="A125" s="28"/>
      <c r="B125" s="25" t="s">
        <v>702</v>
      </c>
      <c r="C125" s="25">
        <v>14112240</v>
      </c>
      <c r="D125" s="25" t="s">
        <v>701</v>
      </c>
      <c r="E125" s="25" t="s">
        <v>185</v>
      </c>
      <c r="F125" s="25" t="s">
        <v>700</v>
      </c>
      <c r="G125" s="25" t="s">
        <v>183</v>
      </c>
      <c r="H125" s="25" t="s">
        <v>699</v>
      </c>
      <c r="I125" s="27">
        <v>43757</v>
      </c>
      <c r="K125" s="27">
        <v>43924</v>
      </c>
      <c r="L125" s="26">
        <v>-54400</v>
      </c>
      <c r="M125" s="25">
        <v>2000289452</v>
      </c>
      <c r="N125" s="25" t="s">
        <v>698</v>
      </c>
      <c r="O125" s="25" t="s">
        <v>180</v>
      </c>
      <c r="P125" s="26">
        <v>105</v>
      </c>
      <c r="Q125" s="25" t="s">
        <v>557</v>
      </c>
      <c r="R125" s="25" t="s">
        <v>697</v>
      </c>
      <c r="S125" s="25" t="s">
        <v>177</v>
      </c>
      <c r="T125" s="25" t="s">
        <v>176</v>
      </c>
      <c r="U125" s="25" t="s">
        <v>175</v>
      </c>
      <c r="V125" s="32" t="s">
        <v>1731</v>
      </c>
    </row>
    <row r="126" spans="1:22" x14ac:dyDescent="0.2">
      <c r="A126" s="28"/>
      <c r="B126" s="25" t="s">
        <v>649</v>
      </c>
      <c r="C126" s="25">
        <v>14035526</v>
      </c>
      <c r="D126" s="25" t="s">
        <v>508</v>
      </c>
      <c r="E126" s="25" t="s">
        <v>312</v>
      </c>
      <c r="F126" s="25" t="s">
        <v>648</v>
      </c>
      <c r="G126" s="25" t="s">
        <v>183</v>
      </c>
      <c r="H126" s="25" t="s">
        <v>219</v>
      </c>
      <c r="I126" s="27">
        <v>43683</v>
      </c>
      <c r="K126" s="27">
        <v>43924</v>
      </c>
      <c r="L126" s="26">
        <v>-41200</v>
      </c>
      <c r="M126" s="25">
        <v>2000289452</v>
      </c>
      <c r="N126" s="25" t="s">
        <v>647</v>
      </c>
      <c r="O126" s="25" t="s">
        <v>180</v>
      </c>
      <c r="P126" s="26">
        <v>77</v>
      </c>
      <c r="Q126" s="25" t="s">
        <v>557</v>
      </c>
      <c r="R126" s="25" t="s">
        <v>491</v>
      </c>
      <c r="S126" s="25" t="s">
        <v>177</v>
      </c>
      <c r="T126" s="25" t="s">
        <v>176</v>
      </c>
      <c r="U126" s="25" t="s">
        <v>175</v>
      </c>
      <c r="V126" s="32" t="s">
        <v>1731</v>
      </c>
    </row>
    <row r="127" spans="1:22" x14ac:dyDescent="0.2">
      <c r="A127" s="28"/>
      <c r="B127" s="25" t="s">
        <v>696</v>
      </c>
      <c r="C127" s="25" t="s">
        <v>696</v>
      </c>
      <c r="D127" s="32" t="s">
        <v>693</v>
      </c>
      <c r="E127" s="25" t="s">
        <v>185</v>
      </c>
      <c r="F127" s="25" t="s">
        <v>695</v>
      </c>
      <c r="G127" s="25" t="s">
        <v>276</v>
      </c>
      <c r="H127" s="25" t="s">
        <v>694</v>
      </c>
      <c r="I127" s="27">
        <v>43896</v>
      </c>
      <c r="K127" s="27">
        <v>43896</v>
      </c>
      <c r="L127" s="26">
        <v>95600</v>
      </c>
      <c r="M127" s="25">
        <v>2000289452</v>
      </c>
      <c r="N127" s="25" t="s">
        <v>651</v>
      </c>
      <c r="O127" s="25" t="s">
        <v>271</v>
      </c>
      <c r="P127" s="26">
        <v>28</v>
      </c>
      <c r="Q127" s="25" t="s">
        <v>292</v>
      </c>
      <c r="R127" s="25" t="s">
        <v>693</v>
      </c>
      <c r="S127" s="25" t="s">
        <v>177</v>
      </c>
      <c r="T127" s="25" t="s">
        <v>176</v>
      </c>
      <c r="U127" s="25" t="s">
        <v>175</v>
      </c>
    </row>
    <row r="128" spans="1:22" x14ac:dyDescent="0.2">
      <c r="A128" s="28"/>
      <c r="B128" s="25" t="s">
        <v>723</v>
      </c>
      <c r="C128" s="25">
        <v>14091911</v>
      </c>
      <c r="D128" s="25" t="s">
        <v>722</v>
      </c>
      <c r="E128" s="25" t="s">
        <v>185</v>
      </c>
      <c r="F128" s="25" t="s">
        <v>721</v>
      </c>
      <c r="G128" s="25" t="s">
        <v>183</v>
      </c>
      <c r="H128" s="25" t="s">
        <v>699</v>
      </c>
      <c r="I128" s="27">
        <v>43737</v>
      </c>
      <c r="K128" s="27">
        <v>43924</v>
      </c>
      <c r="L128" s="26">
        <v>-67136</v>
      </c>
      <c r="M128" s="25">
        <v>2000289450</v>
      </c>
      <c r="N128" s="25" t="s">
        <v>698</v>
      </c>
      <c r="O128" s="25" t="s">
        <v>180</v>
      </c>
      <c r="P128" s="26">
        <v>120</v>
      </c>
      <c r="Q128" s="25" t="s">
        <v>557</v>
      </c>
      <c r="R128" s="25" t="s">
        <v>720</v>
      </c>
      <c r="S128" s="25" t="s">
        <v>177</v>
      </c>
      <c r="T128" s="25" t="s">
        <v>176</v>
      </c>
      <c r="U128" s="25" t="s">
        <v>175</v>
      </c>
    </row>
    <row r="129" spans="1:21" x14ac:dyDescent="0.2">
      <c r="A129" s="28"/>
      <c r="B129" s="25" t="s">
        <v>719</v>
      </c>
      <c r="C129" s="25">
        <v>14034753</v>
      </c>
      <c r="D129" s="25" t="s">
        <v>508</v>
      </c>
      <c r="E129" s="25" t="s">
        <v>312</v>
      </c>
      <c r="F129" s="25" t="s">
        <v>718</v>
      </c>
      <c r="G129" s="25" t="s">
        <v>183</v>
      </c>
      <c r="H129" s="25" t="s">
        <v>219</v>
      </c>
      <c r="I129" s="27">
        <v>43683</v>
      </c>
      <c r="K129" s="27">
        <v>43924</v>
      </c>
      <c r="L129" s="26">
        <v>-72200</v>
      </c>
      <c r="M129" s="25">
        <v>2000289450</v>
      </c>
      <c r="N129" s="25" t="s">
        <v>327</v>
      </c>
      <c r="O129" s="25" t="s">
        <v>180</v>
      </c>
      <c r="P129" s="26">
        <v>77</v>
      </c>
      <c r="Q129" s="25" t="s">
        <v>557</v>
      </c>
      <c r="R129" s="25" t="s">
        <v>491</v>
      </c>
      <c r="S129" s="25" t="s">
        <v>177</v>
      </c>
      <c r="T129" s="25" t="s">
        <v>176</v>
      </c>
      <c r="U129" s="25" t="s">
        <v>175</v>
      </c>
    </row>
    <row r="130" spans="1:21" x14ac:dyDescent="0.2">
      <c r="A130" s="28"/>
      <c r="B130" s="25" t="s">
        <v>717</v>
      </c>
      <c r="C130" s="25">
        <v>14035384</v>
      </c>
      <c r="D130" s="25" t="s">
        <v>508</v>
      </c>
      <c r="E130" s="25" t="s">
        <v>312</v>
      </c>
      <c r="F130" s="25" t="s">
        <v>716</v>
      </c>
      <c r="G130" s="25" t="s">
        <v>183</v>
      </c>
      <c r="H130" s="25" t="s">
        <v>219</v>
      </c>
      <c r="I130" s="27">
        <v>43683</v>
      </c>
      <c r="K130" s="27">
        <v>43924</v>
      </c>
      <c r="L130" s="26">
        <v>-148500</v>
      </c>
      <c r="M130" s="25">
        <v>2000289450</v>
      </c>
      <c r="N130" s="25" t="s">
        <v>327</v>
      </c>
      <c r="O130" s="25" t="s">
        <v>180</v>
      </c>
      <c r="P130" s="26">
        <v>77</v>
      </c>
      <c r="Q130" s="25" t="s">
        <v>557</v>
      </c>
      <c r="R130" s="25" t="s">
        <v>491</v>
      </c>
      <c r="S130" s="25" t="s">
        <v>177</v>
      </c>
      <c r="T130" s="25" t="s">
        <v>176</v>
      </c>
      <c r="U130" s="25" t="s">
        <v>175</v>
      </c>
    </row>
    <row r="131" spans="1:21" x14ac:dyDescent="0.2">
      <c r="A131" s="28"/>
      <c r="B131" s="25" t="s">
        <v>715</v>
      </c>
      <c r="C131" s="25">
        <v>14035390</v>
      </c>
      <c r="D131" s="25" t="s">
        <v>508</v>
      </c>
      <c r="E131" s="25" t="s">
        <v>312</v>
      </c>
      <c r="F131" s="25" t="s">
        <v>714</v>
      </c>
      <c r="G131" s="25" t="s">
        <v>183</v>
      </c>
      <c r="H131" s="25" t="s">
        <v>219</v>
      </c>
      <c r="I131" s="27">
        <v>43683</v>
      </c>
      <c r="K131" s="27">
        <v>43924</v>
      </c>
      <c r="L131" s="26">
        <v>-107000</v>
      </c>
      <c r="M131" s="25">
        <v>2000289450</v>
      </c>
      <c r="N131" s="25" t="s">
        <v>327</v>
      </c>
      <c r="O131" s="25" t="s">
        <v>180</v>
      </c>
      <c r="P131" s="26">
        <v>77</v>
      </c>
      <c r="Q131" s="25" t="s">
        <v>557</v>
      </c>
      <c r="R131" s="25" t="s">
        <v>491</v>
      </c>
      <c r="S131" s="25" t="s">
        <v>177</v>
      </c>
      <c r="T131" s="25" t="s">
        <v>176</v>
      </c>
      <c r="U131" s="25" t="s">
        <v>175</v>
      </c>
    </row>
    <row r="132" spans="1:21" x14ac:dyDescent="0.2">
      <c r="A132" s="28"/>
      <c r="B132" s="25" t="s">
        <v>634</v>
      </c>
      <c r="C132" s="25">
        <v>14141346</v>
      </c>
      <c r="D132" s="25" t="s">
        <v>508</v>
      </c>
      <c r="E132" s="25" t="s">
        <v>312</v>
      </c>
      <c r="F132" s="25" t="s">
        <v>633</v>
      </c>
      <c r="G132" s="25" t="s">
        <v>183</v>
      </c>
      <c r="H132" s="25" t="s">
        <v>219</v>
      </c>
      <c r="I132" s="27">
        <v>43784</v>
      </c>
      <c r="K132" s="27">
        <v>43924</v>
      </c>
      <c r="L132" s="26">
        <v>-195</v>
      </c>
      <c r="M132" s="25">
        <v>2000289450</v>
      </c>
      <c r="N132" s="25" t="s">
        <v>647</v>
      </c>
      <c r="O132" s="25" t="s">
        <v>180</v>
      </c>
      <c r="P132" s="26">
        <v>77</v>
      </c>
      <c r="Q132" s="25" t="s">
        <v>557</v>
      </c>
      <c r="R132" s="25" t="s">
        <v>491</v>
      </c>
      <c r="S132" s="25" t="s">
        <v>177</v>
      </c>
      <c r="T132" s="25" t="s">
        <v>176</v>
      </c>
      <c r="U132" s="25" t="s">
        <v>175</v>
      </c>
    </row>
    <row r="133" spans="1:21" x14ac:dyDescent="0.2">
      <c r="A133" s="28"/>
      <c r="B133" s="25" t="s">
        <v>707</v>
      </c>
      <c r="C133" s="25" t="s">
        <v>707</v>
      </c>
      <c r="D133" s="25" t="s">
        <v>660</v>
      </c>
      <c r="E133" s="25" t="s">
        <v>185</v>
      </c>
      <c r="F133" s="25" t="s">
        <v>705</v>
      </c>
      <c r="G133" s="25" t="s">
        <v>419</v>
      </c>
      <c r="H133" s="25" t="s">
        <v>694</v>
      </c>
      <c r="I133" s="27">
        <v>43887</v>
      </c>
      <c r="K133" s="27">
        <v>43924</v>
      </c>
      <c r="L133" s="26">
        <v>-327895</v>
      </c>
      <c r="M133" s="25">
        <v>2000289450</v>
      </c>
      <c r="N133" s="25" t="s">
        <v>417</v>
      </c>
      <c r="O133" s="25" t="s">
        <v>180</v>
      </c>
      <c r="P133" s="26">
        <v>37</v>
      </c>
      <c r="Q133" s="25" t="s">
        <v>557</v>
      </c>
      <c r="R133" s="25" t="s">
        <v>417</v>
      </c>
      <c r="S133" s="25" t="s">
        <v>177</v>
      </c>
      <c r="T133" s="25" t="s">
        <v>176</v>
      </c>
      <c r="U133" s="25" t="s">
        <v>175</v>
      </c>
    </row>
    <row r="134" spans="1:21" x14ac:dyDescent="0.2">
      <c r="A134" s="28"/>
      <c r="B134" s="25" t="s">
        <v>707</v>
      </c>
      <c r="C134" s="25" t="s">
        <v>707</v>
      </c>
      <c r="D134" s="25" t="s">
        <v>660</v>
      </c>
      <c r="E134" s="25" t="s">
        <v>312</v>
      </c>
      <c r="F134" s="25" t="s">
        <v>705</v>
      </c>
      <c r="G134" s="25" t="s">
        <v>419</v>
      </c>
      <c r="H134" s="25" t="s">
        <v>219</v>
      </c>
      <c r="I134" s="27">
        <v>43887</v>
      </c>
      <c r="K134" s="27">
        <v>43924</v>
      </c>
      <c r="L134" s="26">
        <v>327895</v>
      </c>
      <c r="M134" s="25">
        <v>2000289450</v>
      </c>
      <c r="N134" s="25" t="s">
        <v>417</v>
      </c>
      <c r="O134" s="25" t="s">
        <v>271</v>
      </c>
      <c r="P134" s="26">
        <v>37</v>
      </c>
      <c r="Q134" s="25" t="s">
        <v>557</v>
      </c>
      <c r="R134" s="25" t="s">
        <v>417</v>
      </c>
      <c r="S134" s="25" t="s">
        <v>177</v>
      </c>
      <c r="T134" s="25" t="s">
        <v>176</v>
      </c>
      <c r="U134" s="25" t="s">
        <v>175</v>
      </c>
    </row>
    <row r="135" spans="1:21" x14ac:dyDescent="0.2">
      <c r="A135" s="28"/>
      <c r="B135" s="25" t="s">
        <v>708</v>
      </c>
      <c r="C135" s="25">
        <v>13935786</v>
      </c>
      <c r="D135" s="25" t="s">
        <v>713</v>
      </c>
      <c r="E135" s="25" t="s">
        <v>185</v>
      </c>
      <c r="F135" s="25" t="s">
        <v>712</v>
      </c>
      <c r="G135" s="25" t="s">
        <v>183</v>
      </c>
      <c r="H135" s="25" t="s">
        <v>711</v>
      </c>
      <c r="I135" s="27">
        <v>43596</v>
      </c>
      <c r="K135" s="27">
        <v>43822</v>
      </c>
      <c r="L135" s="26">
        <v>-216464</v>
      </c>
      <c r="M135" s="25">
        <v>2000289450</v>
      </c>
      <c r="N135" s="25" t="s">
        <v>710</v>
      </c>
      <c r="O135" s="25" t="s">
        <v>180</v>
      </c>
      <c r="P135" s="26">
        <v>212</v>
      </c>
      <c r="Q135" s="25" t="s">
        <v>709</v>
      </c>
      <c r="R135" s="25" t="s">
        <v>708</v>
      </c>
      <c r="S135" s="25" t="s">
        <v>177</v>
      </c>
      <c r="T135" s="25" t="s">
        <v>176</v>
      </c>
      <c r="U135" s="25" t="s">
        <v>175</v>
      </c>
    </row>
    <row r="136" spans="1:21" x14ac:dyDescent="0.2">
      <c r="A136" s="28"/>
      <c r="B136" s="25" t="s">
        <v>707</v>
      </c>
      <c r="C136" s="25" t="s">
        <v>707</v>
      </c>
      <c r="D136" s="25" t="s">
        <v>693</v>
      </c>
      <c r="E136" s="25" t="s">
        <v>185</v>
      </c>
      <c r="F136" s="25" t="s">
        <v>706</v>
      </c>
      <c r="G136" s="25" t="s">
        <v>276</v>
      </c>
      <c r="H136" s="25" t="s">
        <v>694</v>
      </c>
      <c r="I136" s="27">
        <v>43887</v>
      </c>
      <c r="K136" s="27">
        <v>43887</v>
      </c>
      <c r="L136" s="26">
        <v>611495</v>
      </c>
      <c r="M136" s="25">
        <v>2000289450</v>
      </c>
      <c r="N136" s="25" t="s">
        <v>704</v>
      </c>
      <c r="O136" s="25" t="s">
        <v>271</v>
      </c>
      <c r="P136" s="26">
        <v>37</v>
      </c>
      <c r="Q136" s="25" t="s">
        <v>292</v>
      </c>
      <c r="R136" s="25" t="s">
        <v>703</v>
      </c>
      <c r="S136" s="25" t="s">
        <v>177</v>
      </c>
      <c r="T136" s="25" t="s">
        <v>176</v>
      </c>
      <c r="U136" s="25" t="s">
        <v>175</v>
      </c>
    </row>
    <row r="137" spans="1:21" x14ac:dyDescent="0.2">
      <c r="A137" s="28"/>
      <c r="B137" s="25" t="s">
        <v>268</v>
      </c>
      <c r="C137" s="25">
        <v>14051741</v>
      </c>
      <c r="D137" s="25" t="s">
        <v>267</v>
      </c>
      <c r="E137" s="25" t="s">
        <v>185</v>
      </c>
      <c r="F137" s="25" t="s">
        <v>266</v>
      </c>
      <c r="G137" s="25" t="s">
        <v>183</v>
      </c>
      <c r="H137" s="25" t="s">
        <v>265</v>
      </c>
      <c r="I137" s="27">
        <v>43700</v>
      </c>
      <c r="K137" s="27">
        <v>43831</v>
      </c>
      <c r="L137" s="26">
        <v>-74550</v>
      </c>
      <c r="M137" s="25">
        <v>2000283255</v>
      </c>
      <c r="N137" s="25" t="s">
        <v>731</v>
      </c>
      <c r="O137" s="25" t="s">
        <v>180</v>
      </c>
      <c r="P137" s="26">
        <v>102</v>
      </c>
      <c r="Q137" s="25" t="s">
        <v>263</v>
      </c>
      <c r="R137" s="25" t="s">
        <v>262</v>
      </c>
      <c r="S137" s="25" t="s">
        <v>177</v>
      </c>
      <c r="T137" s="25" t="s">
        <v>176</v>
      </c>
      <c r="U137" s="25" t="s">
        <v>175</v>
      </c>
    </row>
    <row r="138" spans="1:21" x14ac:dyDescent="0.2">
      <c r="A138" s="28"/>
      <c r="B138" s="25" t="s">
        <v>729</v>
      </c>
      <c r="C138" s="25" t="s">
        <v>729</v>
      </c>
      <c r="D138" s="25" t="s">
        <v>730</v>
      </c>
      <c r="E138" s="25" t="s">
        <v>185</v>
      </c>
      <c r="F138" s="25" t="s">
        <v>725</v>
      </c>
      <c r="G138" s="25" t="s">
        <v>419</v>
      </c>
      <c r="H138" s="25" t="s">
        <v>265</v>
      </c>
      <c r="I138" s="27">
        <v>43906</v>
      </c>
      <c r="K138" s="27">
        <v>43906</v>
      </c>
      <c r="L138" s="26">
        <v>74550</v>
      </c>
      <c r="M138" s="25">
        <v>2000283255</v>
      </c>
      <c r="N138" s="25" t="s">
        <v>729</v>
      </c>
      <c r="O138" s="25" t="s">
        <v>271</v>
      </c>
      <c r="P138" s="26">
        <v>0</v>
      </c>
      <c r="Q138" s="25" t="s">
        <v>263</v>
      </c>
      <c r="R138" s="25" t="s">
        <v>729</v>
      </c>
      <c r="S138" s="25" t="s">
        <v>177</v>
      </c>
      <c r="T138" s="25" t="s">
        <v>176</v>
      </c>
      <c r="U138" s="25" t="s">
        <v>175</v>
      </c>
    </row>
    <row r="139" spans="1:21" x14ac:dyDescent="0.2">
      <c r="A139" s="28"/>
      <c r="B139" s="25" t="s">
        <v>729</v>
      </c>
      <c r="C139" s="25" t="s">
        <v>729</v>
      </c>
      <c r="D139" s="25" t="s">
        <v>730</v>
      </c>
      <c r="E139" s="25" t="s">
        <v>185</v>
      </c>
      <c r="F139" s="25" t="s">
        <v>725</v>
      </c>
      <c r="G139" s="25" t="s">
        <v>419</v>
      </c>
      <c r="H139" s="25" t="s">
        <v>726</v>
      </c>
      <c r="I139" s="27">
        <v>43906</v>
      </c>
      <c r="K139" s="27">
        <v>43906</v>
      </c>
      <c r="L139" s="26">
        <v>-74550</v>
      </c>
      <c r="M139" s="25">
        <v>2000283255</v>
      </c>
      <c r="N139" s="25" t="s">
        <v>729</v>
      </c>
      <c r="O139" s="25" t="s">
        <v>180</v>
      </c>
      <c r="P139" s="26">
        <v>0</v>
      </c>
      <c r="Q139" s="25" t="s">
        <v>263</v>
      </c>
      <c r="R139" s="25" t="s">
        <v>729</v>
      </c>
      <c r="S139" s="25" t="s">
        <v>177</v>
      </c>
      <c r="T139" s="25" t="s">
        <v>176</v>
      </c>
      <c r="U139" s="25" t="s">
        <v>175</v>
      </c>
    </row>
    <row r="140" spans="1:21" x14ac:dyDescent="0.2">
      <c r="A140" s="28"/>
      <c r="B140" s="25" t="s">
        <v>728</v>
      </c>
      <c r="C140" s="25" t="s">
        <v>728</v>
      </c>
      <c r="D140" s="25" t="s">
        <v>724</v>
      </c>
      <c r="E140" s="25" t="s">
        <v>185</v>
      </c>
      <c r="F140" s="25" t="s">
        <v>727</v>
      </c>
      <c r="G140" s="25" t="s">
        <v>276</v>
      </c>
      <c r="H140" s="25" t="s">
        <v>726</v>
      </c>
      <c r="I140" s="27">
        <v>43896</v>
      </c>
      <c r="K140" s="27">
        <v>43896</v>
      </c>
      <c r="L140" s="26">
        <v>74550</v>
      </c>
      <c r="M140" s="25">
        <v>2000283255</v>
      </c>
      <c r="N140" s="25" t="s">
        <v>651</v>
      </c>
      <c r="O140" s="25" t="s">
        <v>271</v>
      </c>
      <c r="P140" s="26">
        <v>10</v>
      </c>
      <c r="Q140" s="25" t="s">
        <v>292</v>
      </c>
      <c r="R140" s="25" t="s">
        <v>724</v>
      </c>
      <c r="S140" s="25" t="s">
        <v>177</v>
      </c>
      <c r="T140" s="25" t="s">
        <v>176</v>
      </c>
      <c r="U140" s="25" t="s">
        <v>175</v>
      </c>
    </row>
    <row r="141" spans="1:21" x14ac:dyDescent="0.2">
      <c r="A141" s="28"/>
      <c r="B141" s="25" t="s">
        <v>675</v>
      </c>
      <c r="C141" s="25">
        <v>14033382</v>
      </c>
      <c r="D141" s="25" t="s">
        <v>674</v>
      </c>
      <c r="E141" s="25" t="s">
        <v>185</v>
      </c>
      <c r="F141" s="25" t="s">
        <v>673</v>
      </c>
      <c r="G141" s="25" t="s">
        <v>183</v>
      </c>
      <c r="H141" s="25" t="s">
        <v>258</v>
      </c>
      <c r="I141" s="27">
        <v>43682</v>
      </c>
      <c r="K141" s="27">
        <v>43804</v>
      </c>
      <c r="L141" s="26">
        <v>-17315</v>
      </c>
      <c r="M141" s="25">
        <v>2000252987</v>
      </c>
      <c r="N141" s="25" t="s">
        <v>741</v>
      </c>
      <c r="O141" s="25" t="s">
        <v>180</v>
      </c>
      <c r="P141" s="26">
        <v>26</v>
      </c>
      <c r="Q141" s="25" t="s">
        <v>179</v>
      </c>
      <c r="R141" s="25" t="s">
        <v>217</v>
      </c>
      <c r="S141" s="25" t="s">
        <v>177</v>
      </c>
      <c r="T141" s="25" t="s">
        <v>176</v>
      </c>
      <c r="U141" s="25" t="s">
        <v>175</v>
      </c>
    </row>
    <row r="142" spans="1:21" x14ac:dyDescent="0.2">
      <c r="A142" s="28"/>
      <c r="B142" s="25" t="s">
        <v>735</v>
      </c>
      <c r="C142" s="25" t="s">
        <v>735</v>
      </c>
      <c r="D142" s="25" t="s">
        <v>740</v>
      </c>
      <c r="E142" s="25" t="s">
        <v>185</v>
      </c>
      <c r="F142" s="25" t="s">
        <v>733</v>
      </c>
      <c r="G142" s="25" t="s">
        <v>419</v>
      </c>
      <c r="H142" s="25" t="s">
        <v>240</v>
      </c>
      <c r="I142" s="27">
        <v>43805</v>
      </c>
      <c r="K142" s="27">
        <v>43830</v>
      </c>
      <c r="L142" s="26">
        <v>140419</v>
      </c>
      <c r="M142" s="25">
        <v>2000252987</v>
      </c>
      <c r="N142" s="25" t="s">
        <v>417</v>
      </c>
      <c r="O142" s="25" t="s">
        <v>271</v>
      </c>
      <c r="P142" s="26">
        <v>25</v>
      </c>
      <c r="Q142" s="25" t="s">
        <v>179</v>
      </c>
      <c r="R142" s="25" t="s">
        <v>417</v>
      </c>
      <c r="S142" s="25" t="s">
        <v>177</v>
      </c>
      <c r="T142" s="25" t="s">
        <v>176</v>
      </c>
      <c r="U142" s="25" t="s">
        <v>175</v>
      </c>
    </row>
    <row r="143" spans="1:21" x14ac:dyDescent="0.2">
      <c r="A143" s="28"/>
      <c r="B143" s="25" t="s">
        <v>735</v>
      </c>
      <c r="C143" s="25" t="s">
        <v>735</v>
      </c>
      <c r="D143" s="25" t="s">
        <v>740</v>
      </c>
      <c r="E143" s="25" t="s">
        <v>185</v>
      </c>
      <c r="F143" s="25" t="s">
        <v>733</v>
      </c>
      <c r="G143" s="25" t="s">
        <v>419</v>
      </c>
      <c r="H143" s="25" t="s">
        <v>678</v>
      </c>
      <c r="I143" s="27">
        <v>43805</v>
      </c>
      <c r="K143" s="27">
        <v>43830</v>
      </c>
      <c r="L143" s="26">
        <v>-140419</v>
      </c>
      <c r="M143" s="25">
        <v>2000252987</v>
      </c>
      <c r="N143" s="25" t="s">
        <v>417</v>
      </c>
      <c r="O143" s="25" t="s">
        <v>180</v>
      </c>
      <c r="P143" s="26">
        <v>25</v>
      </c>
      <c r="Q143" s="25" t="s">
        <v>179</v>
      </c>
      <c r="R143" s="25" t="s">
        <v>417</v>
      </c>
      <c r="S143" s="25" t="s">
        <v>177</v>
      </c>
      <c r="T143" s="25" t="s">
        <v>176</v>
      </c>
      <c r="U143" s="25" t="s">
        <v>175</v>
      </c>
    </row>
    <row r="144" spans="1:21" x14ac:dyDescent="0.2">
      <c r="A144" s="28"/>
      <c r="B144" s="25" t="s">
        <v>739</v>
      </c>
      <c r="C144" s="25">
        <v>13986721</v>
      </c>
      <c r="D144" s="25" t="s">
        <v>738</v>
      </c>
      <c r="E144" s="25" t="s">
        <v>185</v>
      </c>
      <c r="F144" s="25" t="s">
        <v>737</v>
      </c>
      <c r="G144" s="25" t="s">
        <v>183</v>
      </c>
      <c r="H144" s="25" t="s">
        <v>240</v>
      </c>
      <c r="I144" s="27">
        <v>43638</v>
      </c>
      <c r="K144" s="27">
        <v>43772</v>
      </c>
      <c r="L144" s="26">
        <v>-123104</v>
      </c>
      <c r="M144" s="25">
        <v>2000252987</v>
      </c>
      <c r="N144" s="25" t="s">
        <v>736</v>
      </c>
      <c r="O144" s="25" t="s">
        <v>180</v>
      </c>
      <c r="P144" s="26">
        <v>118</v>
      </c>
      <c r="Q144" s="25" t="s">
        <v>189</v>
      </c>
      <c r="R144" s="25" t="s">
        <v>238</v>
      </c>
      <c r="S144" s="25" t="s">
        <v>177</v>
      </c>
      <c r="T144" s="25" t="s">
        <v>176</v>
      </c>
      <c r="U144" s="25" t="s">
        <v>175</v>
      </c>
    </row>
    <row r="145" spans="1:21" x14ac:dyDescent="0.2">
      <c r="A145" s="28"/>
      <c r="B145" s="25" t="s">
        <v>735</v>
      </c>
      <c r="C145" s="25" t="s">
        <v>735</v>
      </c>
      <c r="D145" s="25" t="s">
        <v>676</v>
      </c>
      <c r="E145" s="25" t="s">
        <v>185</v>
      </c>
      <c r="F145" s="25" t="s">
        <v>734</v>
      </c>
      <c r="G145" s="25" t="s">
        <v>276</v>
      </c>
      <c r="H145" s="25" t="s">
        <v>678</v>
      </c>
      <c r="I145" s="27">
        <v>43805</v>
      </c>
      <c r="K145" s="27">
        <v>43805</v>
      </c>
      <c r="L145" s="26">
        <v>140419</v>
      </c>
      <c r="M145" s="25">
        <v>2000252987</v>
      </c>
      <c r="N145" s="25" t="s">
        <v>732</v>
      </c>
      <c r="O145" s="25" t="s">
        <v>271</v>
      </c>
      <c r="P145" s="26">
        <v>25</v>
      </c>
      <c r="Q145" s="25" t="s">
        <v>292</v>
      </c>
      <c r="R145" s="25" t="s">
        <v>676</v>
      </c>
      <c r="S145" s="25" t="s">
        <v>177</v>
      </c>
      <c r="T145" s="25" t="s">
        <v>176</v>
      </c>
      <c r="U145" s="25" t="s">
        <v>175</v>
      </c>
    </row>
    <row r="146" spans="1:21" x14ac:dyDescent="0.2">
      <c r="A146" s="28"/>
      <c r="B146" s="25" t="s">
        <v>675</v>
      </c>
      <c r="C146" s="25">
        <v>14033382</v>
      </c>
      <c r="D146" s="25" t="s">
        <v>674</v>
      </c>
      <c r="E146" s="25" t="s">
        <v>185</v>
      </c>
      <c r="F146" s="25" t="s">
        <v>673</v>
      </c>
      <c r="G146" s="25" t="s">
        <v>183</v>
      </c>
      <c r="H146" s="25" t="s">
        <v>258</v>
      </c>
      <c r="I146" s="27">
        <v>43682</v>
      </c>
      <c r="K146" s="27">
        <v>43804</v>
      </c>
      <c r="L146" s="26">
        <v>-12826</v>
      </c>
      <c r="M146" s="25">
        <v>2000252986</v>
      </c>
      <c r="N146" s="25" t="s">
        <v>741</v>
      </c>
      <c r="O146" s="25" t="s">
        <v>180</v>
      </c>
      <c r="P146" s="26">
        <v>26</v>
      </c>
      <c r="Q146" s="25" t="s">
        <v>179</v>
      </c>
      <c r="R146" s="25" t="s">
        <v>217</v>
      </c>
      <c r="S146" s="25" t="s">
        <v>177</v>
      </c>
      <c r="T146" s="25" t="s">
        <v>176</v>
      </c>
      <c r="U146" s="25" t="s">
        <v>175</v>
      </c>
    </row>
    <row r="147" spans="1:21" x14ac:dyDescent="0.2">
      <c r="A147" s="28"/>
      <c r="B147" s="25" t="s">
        <v>744</v>
      </c>
      <c r="C147" s="25" t="s">
        <v>744</v>
      </c>
      <c r="D147" s="25" t="s">
        <v>740</v>
      </c>
      <c r="E147" s="25" t="s">
        <v>185</v>
      </c>
      <c r="F147" s="25" t="s">
        <v>742</v>
      </c>
      <c r="G147" s="25" t="s">
        <v>419</v>
      </c>
      <c r="H147" s="25" t="s">
        <v>258</v>
      </c>
      <c r="I147" s="27">
        <v>43805</v>
      </c>
      <c r="K147" s="27">
        <v>43830</v>
      </c>
      <c r="L147" s="26">
        <v>-175882</v>
      </c>
      <c r="M147" s="25">
        <v>2000252986</v>
      </c>
      <c r="N147" s="25" t="s">
        <v>417</v>
      </c>
      <c r="O147" s="25" t="s">
        <v>180</v>
      </c>
      <c r="P147" s="26">
        <v>25</v>
      </c>
      <c r="Q147" s="25" t="s">
        <v>179</v>
      </c>
      <c r="R147" s="25" t="s">
        <v>417</v>
      </c>
      <c r="S147" s="25" t="s">
        <v>177</v>
      </c>
      <c r="T147" s="25" t="s">
        <v>176</v>
      </c>
      <c r="U147" s="25" t="s">
        <v>175</v>
      </c>
    </row>
    <row r="148" spans="1:21" x14ac:dyDescent="0.2">
      <c r="A148" s="28"/>
      <c r="B148" s="25" t="s">
        <v>744</v>
      </c>
      <c r="C148" s="25" t="s">
        <v>744</v>
      </c>
      <c r="D148" s="25" t="s">
        <v>740</v>
      </c>
      <c r="E148" s="25" t="s">
        <v>312</v>
      </c>
      <c r="F148" s="25" t="s">
        <v>742</v>
      </c>
      <c r="G148" s="25" t="s">
        <v>419</v>
      </c>
      <c r="H148" s="25" t="s">
        <v>230</v>
      </c>
      <c r="I148" s="27">
        <v>43805</v>
      </c>
      <c r="K148" s="27">
        <v>43830</v>
      </c>
      <c r="L148" s="26">
        <v>175882</v>
      </c>
      <c r="M148" s="25">
        <v>2000252986</v>
      </c>
      <c r="N148" s="25" t="s">
        <v>417</v>
      </c>
      <c r="O148" s="25" t="s">
        <v>271</v>
      </c>
      <c r="P148" s="26">
        <v>25</v>
      </c>
      <c r="Q148" s="25" t="s">
        <v>179</v>
      </c>
      <c r="R148" s="25" t="s">
        <v>417</v>
      </c>
      <c r="S148" s="25" t="s">
        <v>177</v>
      </c>
      <c r="T148" s="25" t="s">
        <v>176</v>
      </c>
      <c r="U148" s="25" t="s">
        <v>175</v>
      </c>
    </row>
    <row r="149" spans="1:21" x14ac:dyDescent="0.2">
      <c r="A149" s="28"/>
      <c r="B149" s="25" t="s">
        <v>758</v>
      </c>
      <c r="C149" s="25">
        <v>13992996</v>
      </c>
      <c r="D149" s="25" t="s">
        <v>757</v>
      </c>
      <c r="E149" s="25" t="s">
        <v>185</v>
      </c>
      <c r="F149" s="25" t="s">
        <v>756</v>
      </c>
      <c r="G149" s="25" t="s">
        <v>183</v>
      </c>
      <c r="H149" s="25" t="s">
        <v>755</v>
      </c>
      <c r="I149" s="27">
        <v>43644</v>
      </c>
      <c r="K149" s="27">
        <v>43713</v>
      </c>
      <c r="L149" s="26">
        <v>-246206</v>
      </c>
      <c r="M149" s="25">
        <v>2000252986</v>
      </c>
      <c r="N149" s="25" t="s">
        <v>754</v>
      </c>
      <c r="O149" s="25" t="s">
        <v>180</v>
      </c>
      <c r="P149" s="26">
        <v>118</v>
      </c>
      <c r="Q149" s="25" t="s">
        <v>189</v>
      </c>
      <c r="R149" s="25" t="s">
        <v>262</v>
      </c>
      <c r="S149" s="25" t="s">
        <v>177</v>
      </c>
      <c r="T149" s="25" t="s">
        <v>176</v>
      </c>
      <c r="U149" s="25" t="s">
        <v>175</v>
      </c>
    </row>
    <row r="150" spans="1:21" x14ac:dyDescent="0.2">
      <c r="A150" s="28"/>
      <c r="B150" s="25" t="s">
        <v>753</v>
      </c>
      <c r="C150" s="25">
        <v>13942783</v>
      </c>
      <c r="D150" s="25" t="s">
        <v>752</v>
      </c>
      <c r="E150" s="25" t="s">
        <v>185</v>
      </c>
      <c r="F150" s="25" t="s">
        <v>751</v>
      </c>
      <c r="G150" s="25" t="s">
        <v>183</v>
      </c>
      <c r="H150" s="25" t="s">
        <v>750</v>
      </c>
      <c r="I150" s="27">
        <v>43601</v>
      </c>
      <c r="K150" s="27">
        <v>43713</v>
      </c>
      <c r="L150" s="26">
        <v>-115100</v>
      </c>
      <c r="M150" s="25">
        <v>2000252986</v>
      </c>
      <c r="N150" s="25" t="s">
        <v>749</v>
      </c>
      <c r="O150" s="25" t="s">
        <v>180</v>
      </c>
      <c r="P150" s="26">
        <v>118</v>
      </c>
      <c r="Q150" s="25" t="s">
        <v>189</v>
      </c>
      <c r="R150" s="25" t="s">
        <v>262</v>
      </c>
      <c r="S150" s="25" t="s">
        <v>177</v>
      </c>
      <c r="T150" s="25" t="s">
        <v>176</v>
      </c>
      <c r="U150" s="25" t="s">
        <v>175</v>
      </c>
    </row>
    <row r="151" spans="1:21" x14ac:dyDescent="0.2">
      <c r="A151" s="28"/>
      <c r="B151" s="25" t="s">
        <v>748</v>
      </c>
      <c r="C151" s="25">
        <v>13686602</v>
      </c>
      <c r="D151" s="25" t="s">
        <v>747</v>
      </c>
      <c r="E151" s="25" t="s">
        <v>312</v>
      </c>
      <c r="F151" s="25" t="s">
        <v>746</v>
      </c>
      <c r="G151" s="25" t="s">
        <v>553</v>
      </c>
      <c r="H151" s="25" t="s">
        <v>230</v>
      </c>
      <c r="I151" s="27">
        <v>43629</v>
      </c>
      <c r="K151" s="27">
        <v>43643</v>
      </c>
      <c r="L151" s="26">
        <v>-175882</v>
      </c>
      <c r="M151" s="25">
        <v>2000252986</v>
      </c>
      <c r="N151" s="25" t="s">
        <v>745</v>
      </c>
      <c r="O151" s="25" t="s">
        <v>180</v>
      </c>
      <c r="P151" s="26">
        <v>127</v>
      </c>
      <c r="Q151" s="25" t="s">
        <v>557</v>
      </c>
      <c r="R151" s="25" t="s">
        <v>556</v>
      </c>
      <c r="S151" s="25" t="s">
        <v>177</v>
      </c>
      <c r="T151" s="25" t="s">
        <v>176</v>
      </c>
      <c r="U151" s="25" t="s">
        <v>175</v>
      </c>
    </row>
    <row r="152" spans="1:21" x14ac:dyDescent="0.2">
      <c r="A152" s="28"/>
      <c r="B152" s="25" t="s">
        <v>744</v>
      </c>
      <c r="C152" s="25" t="s">
        <v>744</v>
      </c>
      <c r="D152" s="25" t="s">
        <v>724</v>
      </c>
      <c r="E152" s="25" t="s">
        <v>185</v>
      </c>
      <c r="F152" s="25" t="s">
        <v>743</v>
      </c>
      <c r="G152" s="25" t="s">
        <v>276</v>
      </c>
      <c r="H152" s="25" t="s">
        <v>726</v>
      </c>
      <c r="I152" s="27">
        <v>43805</v>
      </c>
      <c r="K152" s="27">
        <v>43805</v>
      </c>
      <c r="L152" s="26">
        <v>550014</v>
      </c>
      <c r="M152" s="25">
        <v>2000252986</v>
      </c>
      <c r="N152" s="25" t="s">
        <v>732</v>
      </c>
      <c r="O152" s="25" t="s">
        <v>271</v>
      </c>
      <c r="P152" s="26">
        <v>25</v>
      </c>
      <c r="Q152" s="25" t="s">
        <v>292</v>
      </c>
      <c r="R152" s="25" t="s">
        <v>724</v>
      </c>
      <c r="S152" s="25" t="s">
        <v>177</v>
      </c>
      <c r="T152" s="25" t="s">
        <v>176</v>
      </c>
      <c r="U152" s="25" t="s">
        <v>175</v>
      </c>
    </row>
    <row r="153" spans="1:21" x14ac:dyDescent="0.2">
      <c r="A153" s="28"/>
      <c r="B153" s="25" t="s">
        <v>761</v>
      </c>
      <c r="C153" s="25" t="s">
        <v>761</v>
      </c>
      <c r="D153" s="25" t="s">
        <v>740</v>
      </c>
      <c r="E153" s="25" t="s">
        <v>185</v>
      </c>
      <c r="F153" s="25" t="s">
        <v>759</v>
      </c>
      <c r="G153" s="25" t="s">
        <v>419</v>
      </c>
      <c r="H153" s="25" t="s">
        <v>294</v>
      </c>
      <c r="I153" s="27">
        <v>43805</v>
      </c>
      <c r="K153" s="27">
        <v>43830</v>
      </c>
      <c r="L153" s="26">
        <v>0</v>
      </c>
      <c r="M153" s="25">
        <v>2000252985</v>
      </c>
      <c r="N153" s="25" t="s">
        <v>417</v>
      </c>
      <c r="O153" s="25" t="s">
        <v>271</v>
      </c>
      <c r="P153" s="26">
        <v>25</v>
      </c>
      <c r="Q153" s="25" t="s">
        <v>179</v>
      </c>
      <c r="R153" s="25" t="s">
        <v>417</v>
      </c>
      <c r="S153" s="25" t="s">
        <v>177</v>
      </c>
      <c r="T153" s="25" t="s">
        <v>176</v>
      </c>
      <c r="U153" s="25" t="s">
        <v>175</v>
      </c>
    </row>
    <row r="154" spans="1:21" x14ac:dyDescent="0.2">
      <c r="A154" s="28"/>
      <c r="B154" s="25" t="s">
        <v>770</v>
      </c>
      <c r="C154" s="25">
        <v>13987406</v>
      </c>
      <c r="D154" s="25" t="s">
        <v>226</v>
      </c>
      <c r="E154" s="25" t="s">
        <v>185</v>
      </c>
      <c r="F154" s="25" t="s">
        <v>769</v>
      </c>
      <c r="G154" s="25" t="s">
        <v>183</v>
      </c>
      <c r="H154" s="25" t="s">
        <v>219</v>
      </c>
      <c r="I154" s="27">
        <v>43639</v>
      </c>
      <c r="K154" s="27">
        <v>43713</v>
      </c>
      <c r="L154" s="26">
        <v>-318892</v>
      </c>
      <c r="M154" s="25">
        <v>2000252985</v>
      </c>
      <c r="N154" s="25" t="s">
        <v>622</v>
      </c>
      <c r="O154" s="25" t="s">
        <v>180</v>
      </c>
      <c r="P154" s="26">
        <v>118</v>
      </c>
      <c r="Q154" s="25" t="s">
        <v>179</v>
      </c>
      <c r="R154" s="25" t="s">
        <v>217</v>
      </c>
      <c r="S154" s="25" t="s">
        <v>177</v>
      </c>
      <c r="T154" s="25" t="s">
        <v>176</v>
      </c>
      <c r="U154" s="25" t="s">
        <v>175</v>
      </c>
    </row>
    <row r="155" spans="1:21" x14ac:dyDescent="0.2">
      <c r="A155" s="28"/>
      <c r="B155" s="25" t="s">
        <v>627</v>
      </c>
      <c r="C155" s="25">
        <v>14010076</v>
      </c>
      <c r="D155" s="25" t="s">
        <v>222</v>
      </c>
      <c r="E155" s="25" t="s">
        <v>185</v>
      </c>
      <c r="F155" s="25" t="s">
        <v>626</v>
      </c>
      <c r="G155" s="25" t="s">
        <v>553</v>
      </c>
      <c r="H155" s="25" t="s">
        <v>258</v>
      </c>
      <c r="I155" s="27">
        <v>43661</v>
      </c>
      <c r="K155" s="27">
        <v>43830</v>
      </c>
      <c r="L155" s="26">
        <v>-175230</v>
      </c>
      <c r="M155" s="25">
        <v>2000252985</v>
      </c>
      <c r="N155" s="25" t="s">
        <v>768</v>
      </c>
      <c r="O155" s="25" t="s">
        <v>180</v>
      </c>
      <c r="P155" s="26">
        <v>-60</v>
      </c>
      <c r="Q155" s="25" t="s">
        <v>179</v>
      </c>
      <c r="R155" s="25" t="s">
        <v>217</v>
      </c>
      <c r="S155" s="25" t="s">
        <v>177</v>
      </c>
      <c r="T155" s="25" t="s">
        <v>176</v>
      </c>
      <c r="U155" s="25" t="s">
        <v>175</v>
      </c>
    </row>
    <row r="156" spans="1:21" x14ac:dyDescent="0.2">
      <c r="A156" s="28"/>
      <c r="B156" s="25" t="s">
        <v>767</v>
      </c>
      <c r="C156" s="25">
        <v>14000562</v>
      </c>
      <c r="D156" s="25" t="s">
        <v>222</v>
      </c>
      <c r="E156" s="25" t="s">
        <v>185</v>
      </c>
      <c r="F156" s="25" t="s">
        <v>766</v>
      </c>
      <c r="G156" s="25" t="s">
        <v>183</v>
      </c>
      <c r="H156" s="25" t="s">
        <v>219</v>
      </c>
      <c r="I156" s="27">
        <v>43652</v>
      </c>
      <c r="K156" s="27">
        <v>43713</v>
      </c>
      <c r="L156" s="26">
        <v>-168883</v>
      </c>
      <c r="M156" s="25">
        <v>2000252985</v>
      </c>
      <c r="N156" s="25" t="s">
        <v>765</v>
      </c>
      <c r="O156" s="25" t="s">
        <v>180</v>
      </c>
      <c r="P156" s="26">
        <v>118</v>
      </c>
      <c r="Q156" s="25" t="s">
        <v>189</v>
      </c>
      <c r="R156" s="25" t="s">
        <v>217</v>
      </c>
      <c r="S156" s="25" t="s">
        <v>177</v>
      </c>
      <c r="T156" s="25" t="s">
        <v>176</v>
      </c>
      <c r="U156" s="25" t="s">
        <v>175</v>
      </c>
    </row>
    <row r="157" spans="1:21" x14ac:dyDescent="0.2">
      <c r="A157" s="28"/>
      <c r="B157" s="25" t="s">
        <v>764</v>
      </c>
      <c r="C157" s="25">
        <v>14005780</v>
      </c>
      <c r="D157" s="25" t="s">
        <v>222</v>
      </c>
      <c r="E157" s="25" t="s">
        <v>185</v>
      </c>
      <c r="F157" s="25" t="s">
        <v>763</v>
      </c>
      <c r="G157" s="25" t="s">
        <v>183</v>
      </c>
      <c r="H157" s="25" t="s">
        <v>258</v>
      </c>
      <c r="I157" s="27">
        <v>43657</v>
      </c>
      <c r="K157" s="27">
        <v>43713</v>
      </c>
      <c r="L157" s="26">
        <v>-324421</v>
      </c>
      <c r="M157" s="25">
        <v>2000252985</v>
      </c>
      <c r="N157" s="25" t="s">
        <v>762</v>
      </c>
      <c r="O157" s="25" t="s">
        <v>180</v>
      </c>
      <c r="P157" s="26">
        <v>118</v>
      </c>
      <c r="Q157" s="25" t="s">
        <v>189</v>
      </c>
      <c r="R157" s="25" t="s">
        <v>217</v>
      </c>
      <c r="S157" s="25" t="s">
        <v>177</v>
      </c>
      <c r="T157" s="25" t="s">
        <v>176</v>
      </c>
      <c r="U157" s="25" t="s">
        <v>175</v>
      </c>
    </row>
    <row r="158" spans="1:21" x14ac:dyDescent="0.2">
      <c r="A158" s="28"/>
      <c r="B158" s="25" t="s">
        <v>761</v>
      </c>
      <c r="C158" s="25" t="s">
        <v>761</v>
      </c>
      <c r="D158" s="25" t="s">
        <v>570</v>
      </c>
      <c r="E158" s="25" t="s">
        <v>185</v>
      </c>
      <c r="F158" s="25" t="s">
        <v>760</v>
      </c>
      <c r="G158" s="25" t="s">
        <v>276</v>
      </c>
      <c r="H158" s="25" t="s">
        <v>294</v>
      </c>
      <c r="I158" s="27">
        <v>43805</v>
      </c>
      <c r="K158" s="27">
        <v>43805</v>
      </c>
      <c r="L158" s="26">
        <v>987426</v>
      </c>
      <c r="M158" s="25">
        <v>2000252985</v>
      </c>
      <c r="N158" s="25" t="s">
        <v>732</v>
      </c>
      <c r="O158" s="25" t="s">
        <v>271</v>
      </c>
      <c r="P158" s="26">
        <v>25</v>
      </c>
      <c r="Q158" s="25" t="s">
        <v>292</v>
      </c>
      <c r="R158" s="25" t="s">
        <v>570</v>
      </c>
      <c r="S158" s="25" t="s">
        <v>177</v>
      </c>
      <c r="T158" s="25" t="s">
        <v>176</v>
      </c>
      <c r="U158" s="25" t="s">
        <v>175</v>
      </c>
    </row>
    <row r="159" spans="1:21" x14ac:dyDescent="0.2">
      <c r="A159" s="28"/>
      <c r="B159" s="25" t="s">
        <v>780</v>
      </c>
      <c r="C159" s="25">
        <v>14038727</v>
      </c>
      <c r="D159" s="25" t="s">
        <v>776</v>
      </c>
      <c r="E159" s="25" t="s">
        <v>185</v>
      </c>
      <c r="F159" s="25" t="s">
        <v>779</v>
      </c>
      <c r="G159" s="25" t="s">
        <v>183</v>
      </c>
      <c r="H159" s="25" t="s">
        <v>246</v>
      </c>
      <c r="I159" s="27">
        <v>43686</v>
      </c>
      <c r="K159" s="27">
        <v>43804</v>
      </c>
      <c r="L159" s="26">
        <v>-101000</v>
      </c>
      <c r="M159" s="25">
        <v>2000252984</v>
      </c>
      <c r="N159" s="25" t="s">
        <v>778</v>
      </c>
      <c r="O159" s="25" t="s">
        <v>180</v>
      </c>
      <c r="P159" s="26">
        <v>26</v>
      </c>
      <c r="Q159" s="25" t="s">
        <v>179</v>
      </c>
      <c r="R159" s="25" t="s">
        <v>244</v>
      </c>
      <c r="S159" s="25" t="s">
        <v>177</v>
      </c>
      <c r="T159" s="25" t="s">
        <v>176</v>
      </c>
      <c r="U159" s="25" t="s">
        <v>175</v>
      </c>
    </row>
    <row r="160" spans="1:21" x14ac:dyDescent="0.2">
      <c r="A160" s="28"/>
      <c r="B160" s="25" t="s">
        <v>777</v>
      </c>
      <c r="C160" s="25">
        <v>14039314</v>
      </c>
      <c r="D160" s="25" t="s">
        <v>776</v>
      </c>
      <c r="E160" s="25" t="s">
        <v>351</v>
      </c>
      <c r="F160" s="25" t="s">
        <v>775</v>
      </c>
      <c r="G160" s="25" t="s">
        <v>183</v>
      </c>
      <c r="H160" s="25" t="s">
        <v>246</v>
      </c>
      <c r="I160" s="27">
        <v>43688</v>
      </c>
      <c r="K160" s="27">
        <v>43804</v>
      </c>
      <c r="L160" s="26">
        <v>-138807</v>
      </c>
      <c r="M160" s="25">
        <v>2000252984</v>
      </c>
      <c r="N160" s="25" t="s">
        <v>774</v>
      </c>
      <c r="O160" s="25" t="s">
        <v>180</v>
      </c>
      <c r="P160" s="26">
        <v>26</v>
      </c>
      <c r="Q160" s="25" t="s">
        <v>179</v>
      </c>
      <c r="R160" s="25" t="s">
        <v>244</v>
      </c>
      <c r="S160" s="25" t="s">
        <v>177</v>
      </c>
      <c r="T160" s="25" t="s">
        <v>176</v>
      </c>
      <c r="U160" s="25" t="s">
        <v>175</v>
      </c>
    </row>
    <row r="161" spans="1:21" x14ac:dyDescent="0.2">
      <c r="A161" s="28"/>
      <c r="B161" s="25" t="s">
        <v>773</v>
      </c>
      <c r="C161" s="25" t="s">
        <v>773</v>
      </c>
      <c r="D161" s="25" t="s">
        <v>740</v>
      </c>
      <c r="E161" s="25" t="s">
        <v>351</v>
      </c>
      <c r="F161" s="25" t="s">
        <v>771</v>
      </c>
      <c r="G161" s="25" t="s">
        <v>419</v>
      </c>
      <c r="H161" s="25" t="s">
        <v>246</v>
      </c>
      <c r="I161" s="27">
        <v>43805</v>
      </c>
      <c r="K161" s="27">
        <v>43830</v>
      </c>
      <c r="L161" s="26">
        <v>138807</v>
      </c>
      <c r="M161" s="25">
        <v>2000252984</v>
      </c>
      <c r="N161" s="25" t="s">
        <v>417</v>
      </c>
      <c r="O161" s="25" t="s">
        <v>271</v>
      </c>
      <c r="P161" s="26">
        <v>25</v>
      </c>
      <c r="Q161" s="25" t="s">
        <v>179</v>
      </c>
      <c r="R161" s="25" t="s">
        <v>417</v>
      </c>
      <c r="S161" s="25" t="s">
        <v>177</v>
      </c>
      <c r="T161" s="25" t="s">
        <v>176</v>
      </c>
      <c r="U161" s="25" t="s">
        <v>175</v>
      </c>
    </row>
    <row r="162" spans="1:21" x14ac:dyDescent="0.2">
      <c r="A162" s="28"/>
      <c r="B162" s="25" t="s">
        <v>773</v>
      </c>
      <c r="C162" s="25" t="s">
        <v>773</v>
      </c>
      <c r="D162" s="25" t="s">
        <v>740</v>
      </c>
      <c r="E162" s="25" t="s">
        <v>185</v>
      </c>
      <c r="F162" s="25" t="s">
        <v>771</v>
      </c>
      <c r="G162" s="25" t="s">
        <v>419</v>
      </c>
      <c r="H162" s="25" t="s">
        <v>652</v>
      </c>
      <c r="I162" s="27">
        <v>43805</v>
      </c>
      <c r="K162" s="27">
        <v>43830</v>
      </c>
      <c r="L162" s="26">
        <v>-138807</v>
      </c>
      <c r="M162" s="25">
        <v>2000252984</v>
      </c>
      <c r="N162" s="25" t="s">
        <v>417</v>
      </c>
      <c r="O162" s="25" t="s">
        <v>180</v>
      </c>
      <c r="P162" s="26">
        <v>25</v>
      </c>
      <c r="Q162" s="25" t="s">
        <v>179</v>
      </c>
      <c r="R162" s="25" t="s">
        <v>417</v>
      </c>
      <c r="S162" s="25" t="s">
        <v>177</v>
      </c>
      <c r="T162" s="25" t="s">
        <v>176</v>
      </c>
      <c r="U162" s="25" t="s">
        <v>175</v>
      </c>
    </row>
    <row r="163" spans="1:21" x14ac:dyDescent="0.2">
      <c r="A163" s="28"/>
      <c r="B163" s="25" t="s">
        <v>773</v>
      </c>
      <c r="C163" s="25" t="s">
        <v>773</v>
      </c>
      <c r="D163" s="25" t="s">
        <v>650</v>
      </c>
      <c r="E163" s="25" t="s">
        <v>185</v>
      </c>
      <c r="F163" s="25" t="s">
        <v>772</v>
      </c>
      <c r="G163" s="25" t="s">
        <v>276</v>
      </c>
      <c r="H163" s="25" t="s">
        <v>652</v>
      </c>
      <c r="I163" s="27">
        <v>43805</v>
      </c>
      <c r="K163" s="27">
        <v>43805</v>
      </c>
      <c r="L163" s="26">
        <v>239807</v>
      </c>
      <c r="M163" s="25">
        <v>2000252984</v>
      </c>
      <c r="N163" s="25" t="s">
        <v>732</v>
      </c>
      <c r="O163" s="25" t="s">
        <v>271</v>
      </c>
      <c r="P163" s="26">
        <v>25</v>
      </c>
      <c r="Q163" s="25" t="s">
        <v>292</v>
      </c>
      <c r="R163" s="25" t="s">
        <v>650</v>
      </c>
      <c r="S163" s="25" t="s">
        <v>177</v>
      </c>
      <c r="T163" s="25" t="s">
        <v>176</v>
      </c>
      <c r="U163" s="25" t="s">
        <v>175</v>
      </c>
    </row>
    <row r="164" spans="1:21" x14ac:dyDescent="0.2">
      <c r="A164" s="28"/>
      <c r="B164" s="25" t="s">
        <v>790</v>
      </c>
      <c r="C164" s="25">
        <v>14052537</v>
      </c>
      <c r="D164" s="25" t="s">
        <v>789</v>
      </c>
      <c r="E164" s="25" t="s">
        <v>185</v>
      </c>
      <c r="F164" s="25" t="s">
        <v>788</v>
      </c>
      <c r="G164" s="25" t="s">
        <v>183</v>
      </c>
      <c r="H164" s="25" t="s">
        <v>786</v>
      </c>
      <c r="I164" s="27">
        <v>43700</v>
      </c>
      <c r="K164" s="27">
        <v>43804</v>
      </c>
      <c r="L164" s="26">
        <v>-54947</v>
      </c>
      <c r="M164" s="25">
        <v>2000252982</v>
      </c>
      <c r="N164" s="25" t="s">
        <v>787</v>
      </c>
      <c r="O164" s="25" t="s">
        <v>180</v>
      </c>
      <c r="P164" s="26">
        <v>26</v>
      </c>
      <c r="Q164" s="25" t="s">
        <v>179</v>
      </c>
      <c r="R164" s="25" t="s">
        <v>572</v>
      </c>
      <c r="S164" s="25" t="s">
        <v>177</v>
      </c>
      <c r="T164" s="25" t="s">
        <v>176</v>
      </c>
      <c r="U164" s="25" t="s">
        <v>175</v>
      </c>
    </row>
    <row r="165" spans="1:21" x14ac:dyDescent="0.2">
      <c r="A165" s="28"/>
      <c r="B165" s="25" t="s">
        <v>785</v>
      </c>
      <c r="C165" s="25" t="s">
        <v>785</v>
      </c>
      <c r="D165" s="25" t="s">
        <v>740</v>
      </c>
      <c r="E165" s="25" t="s">
        <v>185</v>
      </c>
      <c r="F165" s="25" t="s">
        <v>782</v>
      </c>
      <c r="G165" s="25" t="s">
        <v>419</v>
      </c>
      <c r="H165" s="25" t="s">
        <v>786</v>
      </c>
      <c r="I165" s="27">
        <v>43805</v>
      </c>
      <c r="K165" s="27">
        <v>43830</v>
      </c>
      <c r="L165" s="26">
        <v>54947</v>
      </c>
      <c r="M165" s="25">
        <v>2000252982</v>
      </c>
      <c r="N165" s="25" t="s">
        <v>417</v>
      </c>
      <c r="O165" s="25" t="s">
        <v>271</v>
      </c>
      <c r="P165" s="26">
        <v>25</v>
      </c>
      <c r="Q165" s="25" t="s">
        <v>179</v>
      </c>
      <c r="R165" s="25" t="s">
        <v>417</v>
      </c>
      <c r="S165" s="25" t="s">
        <v>177</v>
      </c>
      <c r="T165" s="25" t="s">
        <v>176</v>
      </c>
      <c r="U165" s="25" t="s">
        <v>175</v>
      </c>
    </row>
    <row r="166" spans="1:21" x14ac:dyDescent="0.2">
      <c r="A166" s="28"/>
      <c r="B166" s="25" t="s">
        <v>785</v>
      </c>
      <c r="C166" s="25" t="s">
        <v>785</v>
      </c>
      <c r="D166" s="25" t="s">
        <v>740</v>
      </c>
      <c r="E166" s="25" t="s">
        <v>185</v>
      </c>
      <c r="F166" s="25" t="s">
        <v>782</v>
      </c>
      <c r="G166" s="25" t="s">
        <v>419</v>
      </c>
      <c r="H166" s="25" t="s">
        <v>783</v>
      </c>
      <c r="I166" s="27">
        <v>43805</v>
      </c>
      <c r="K166" s="27">
        <v>43830</v>
      </c>
      <c r="L166" s="26">
        <v>-54947</v>
      </c>
      <c r="M166" s="25">
        <v>2000252982</v>
      </c>
      <c r="N166" s="25" t="s">
        <v>417</v>
      </c>
      <c r="O166" s="25" t="s">
        <v>180</v>
      </c>
      <c r="P166" s="26">
        <v>25</v>
      </c>
      <c r="Q166" s="25" t="s">
        <v>179</v>
      </c>
      <c r="R166" s="25" t="s">
        <v>417</v>
      </c>
      <c r="S166" s="25" t="s">
        <v>177</v>
      </c>
      <c r="T166" s="25" t="s">
        <v>176</v>
      </c>
      <c r="U166" s="25" t="s">
        <v>175</v>
      </c>
    </row>
    <row r="167" spans="1:21" x14ac:dyDescent="0.2">
      <c r="A167" s="28"/>
      <c r="B167" s="25" t="s">
        <v>785</v>
      </c>
      <c r="C167" s="25" t="s">
        <v>785</v>
      </c>
      <c r="D167" s="25" t="s">
        <v>781</v>
      </c>
      <c r="E167" s="25" t="s">
        <v>185</v>
      </c>
      <c r="F167" s="25" t="s">
        <v>784</v>
      </c>
      <c r="G167" s="25" t="s">
        <v>276</v>
      </c>
      <c r="H167" s="25" t="s">
        <v>783</v>
      </c>
      <c r="I167" s="27">
        <v>43805</v>
      </c>
      <c r="K167" s="27">
        <v>43805</v>
      </c>
      <c r="L167" s="26">
        <v>54947</v>
      </c>
      <c r="M167" s="25">
        <v>2000252982</v>
      </c>
      <c r="N167" s="25" t="s">
        <v>732</v>
      </c>
      <c r="O167" s="25" t="s">
        <v>271</v>
      </c>
      <c r="P167" s="26">
        <v>25</v>
      </c>
      <c r="Q167" s="25" t="s">
        <v>292</v>
      </c>
      <c r="R167" s="25" t="s">
        <v>781</v>
      </c>
      <c r="S167" s="25" t="s">
        <v>177</v>
      </c>
      <c r="T167" s="25" t="s">
        <v>176</v>
      </c>
      <c r="U167" s="25" t="s">
        <v>175</v>
      </c>
    </row>
    <row r="168" spans="1:21" x14ac:dyDescent="0.2">
      <c r="A168" s="28"/>
      <c r="B168" s="25" t="s">
        <v>803</v>
      </c>
      <c r="C168" s="25">
        <v>14043893</v>
      </c>
      <c r="D168" s="25" t="s">
        <v>802</v>
      </c>
      <c r="E168" s="25" t="s">
        <v>185</v>
      </c>
      <c r="F168" s="25" t="s">
        <v>801</v>
      </c>
      <c r="G168" s="25" t="s">
        <v>183</v>
      </c>
      <c r="H168" s="25" t="s">
        <v>455</v>
      </c>
      <c r="I168" s="27">
        <v>43691</v>
      </c>
      <c r="K168" s="27">
        <v>43774</v>
      </c>
      <c r="L168" s="26">
        <v>-256616</v>
      </c>
      <c r="M168" s="25">
        <v>2000251236</v>
      </c>
      <c r="N168" s="25" t="s">
        <v>800</v>
      </c>
      <c r="O168" s="25" t="s">
        <v>180</v>
      </c>
      <c r="P168" s="26">
        <v>21</v>
      </c>
      <c r="Q168" s="25" t="s">
        <v>797</v>
      </c>
      <c r="R168" s="25" t="s">
        <v>453</v>
      </c>
      <c r="S168" s="25" t="s">
        <v>177</v>
      </c>
      <c r="T168" s="25" t="s">
        <v>176</v>
      </c>
      <c r="U168" s="25" t="s">
        <v>175</v>
      </c>
    </row>
    <row r="169" spans="1:21" x14ac:dyDescent="0.2">
      <c r="A169" s="28"/>
      <c r="B169" s="25" t="s">
        <v>799</v>
      </c>
      <c r="C169" s="25" t="s">
        <v>799</v>
      </c>
      <c r="D169" s="25" t="s">
        <v>798</v>
      </c>
      <c r="E169" s="25" t="s">
        <v>185</v>
      </c>
      <c r="F169" s="25" t="s">
        <v>792</v>
      </c>
      <c r="G169" s="25" t="s">
        <v>419</v>
      </c>
      <c r="H169" s="25" t="s">
        <v>455</v>
      </c>
      <c r="I169" s="27">
        <v>43825</v>
      </c>
      <c r="K169" s="27">
        <v>43825</v>
      </c>
      <c r="L169" s="26">
        <v>256616</v>
      </c>
      <c r="M169" s="25">
        <v>2000251236</v>
      </c>
      <c r="O169" s="25" t="s">
        <v>271</v>
      </c>
      <c r="P169" s="26">
        <v>0</v>
      </c>
      <c r="Q169" s="25" t="s">
        <v>797</v>
      </c>
      <c r="R169" s="25" t="s">
        <v>796</v>
      </c>
      <c r="S169" s="25" t="s">
        <v>177</v>
      </c>
      <c r="T169" s="25" t="s">
        <v>176</v>
      </c>
      <c r="U169" s="25" t="s">
        <v>175</v>
      </c>
    </row>
    <row r="170" spans="1:21" x14ac:dyDescent="0.2">
      <c r="A170" s="28"/>
      <c r="B170" s="25" t="s">
        <v>799</v>
      </c>
      <c r="C170" s="25" t="s">
        <v>799</v>
      </c>
      <c r="D170" s="25" t="s">
        <v>798</v>
      </c>
      <c r="E170" s="25" t="s">
        <v>185</v>
      </c>
      <c r="F170" s="25" t="s">
        <v>792</v>
      </c>
      <c r="G170" s="25" t="s">
        <v>419</v>
      </c>
      <c r="H170" s="25" t="s">
        <v>793</v>
      </c>
      <c r="I170" s="27">
        <v>43825</v>
      </c>
      <c r="K170" s="27">
        <v>43825</v>
      </c>
      <c r="L170" s="26">
        <v>-256616</v>
      </c>
      <c r="M170" s="25">
        <v>2000251236</v>
      </c>
      <c r="O170" s="25" t="s">
        <v>180</v>
      </c>
      <c r="P170" s="26">
        <v>0</v>
      </c>
      <c r="Q170" s="25" t="s">
        <v>797</v>
      </c>
      <c r="R170" s="25" t="s">
        <v>796</v>
      </c>
      <c r="S170" s="25" t="s">
        <v>177</v>
      </c>
      <c r="T170" s="25" t="s">
        <v>176</v>
      </c>
      <c r="U170" s="25" t="s">
        <v>175</v>
      </c>
    </row>
    <row r="171" spans="1:21" x14ac:dyDescent="0.2">
      <c r="A171" s="28"/>
      <c r="B171" s="25" t="s">
        <v>795</v>
      </c>
      <c r="C171" s="25" t="s">
        <v>795</v>
      </c>
      <c r="D171" s="25" t="s">
        <v>791</v>
      </c>
      <c r="E171" s="25" t="s">
        <v>185</v>
      </c>
      <c r="F171" s="25" t="s">
        <v>794</v>
      </c>
      <c r="G171" s="25" t="s">
        <v>276</v>
      </c>
      <c r="H171" s="25" t="s">
        <v>793</v>
      </c>
      <c r="I171" s="27">
        <v>43805</v>
      </c>
      <c r="K171" s="27">
        <v>43805</v>
      </c>
      <c r="L171" s="26">
        <v>256616</v>
      </c>
      <c r="M171" s="25">
        <v>2000251236</v>
      </c>
      <c r="N171" s="25" t="s">
        <v>732</v>
      </c>
      <c r="O171" s="25" t="s">
        <v>271</v>
      </c>
      <c r="P171" s="26">
        <v>20</v>
      </c>
      <c r="Q171" s="25" t="s">
        <v>292</v>
      </c>
      <c r="R171" s="25" t="s">
        <v>791</v>
      </c>
      <c r="S171" s="25" t="s">
        <v>177</v>
      </c>
      <c r="T171" s="25" t="s">
        <v>176</v>
      </c>
      <c r="U171" s="25" t="s">
        <v>175</v>
      </c>
    </row>
    <row r="172" spans="1:21" x14ac:dyDescent="0.2">
      <c r="A172" s="28"/>
      <c r="B172" s="25" t="s">
        <v>708</v>
      </c>
      <c r="C172" s="25">
        <v>13935786</v>
      </c>
      <c r="D172" s="25" t="s">
        <v>813</v>
      </c>
      <c r="E172" s="25" t="s">
        <v>185</v>
      </c>
      <c r="F172" s="25" t="s">
        <v>712</v>
      </c>
      <c r="G172" s="25" t="s">
        <v>183</v>
      </c>
      <c r="H172" s="25" t="s">
        <v>711</v>
      </c>
      <c r="I172" s="27">
        <v>43596</v>
      </c>
      <c r="K172" s="27">
        <v>43822</v>
      </c>
      <c r="L172" s="26">
        <v>-54240</v>
      </c>
      <c r="M172" s="25">
        <v>2000251084</v>
      </c>
      <c r="N172" s="25" t="s">
        <v>815</v>
      </c>
      <c r="O172" s="25" t="s">
        <v>180</v>
      </c>
      <c r="P172" s="26">
        <v>196</v>
      </c>
      <c r="Q172" s="25" t="s">
        <v>709</v>
      </c>
      <c r="R172" s="25" t="s">
        <v>708</v>
      </c>
      <c r="S172" s="25" t="s">
        <v>177</v>
      </c>
      <c r="T172" s="25" t="s">
        <v>176</v>
      </c>
      <c r="U172" s="25" t="s">
        <v>175</v>
      </c>
    </row>
    <row r="173" spans="1:21" x14ac:dyDescent="0.2">
      <c r="A173" s="28"/>
      <c r="B173" s="25" t="s">
        <v>814</v>
      </c>
      <c r="C173" s="25" t="s">
        <v>814</v>
      </c>
      <c r="D173" s="25" t="s">
        <v>813</v>
      </c>
      <c r="E173" s="25" t="s">
        <v>185</v>
      </c>
      <c r="F173" s="25" t="s">
        <v>804</v>
      </c>
      <c r="G173" s="25" t="s">
        <v>419</v>
      </c>
      <c r="H173" s="25" t="s">
        <v>699</v>
      </c>
      <c r="I173" s="27">
        <v>43822</v>
      </c>
      <c r="K173" s="27">
        <v>43822</v>
      </c>
      <c r="L173" s="26">
        <v>121536</v>
      </c>
      <c r="M173" s="25">
        <v>2000251084</v>
      </c>
      <c r="N173" s="25" t="s">
        <v>812</v>
      </c>
      <c r="O173" s="25" t="s">
        <v>271</v>
      </c>
      <c r="P173" s="26">
        <v>0</v>
      </c>
      <c r="Q173" s="25" t="s">
        <v>709</v>
      </c>
      <c r="R173" s="25" t="s">
        <v>811</v>
      </c>
      <c r="S173" s="25" t="s">
        <v>177</v>
      </c>
      <c r="T173" s="25" t="s">
        <v>176</v>
      </c>
      <c r="U173" s="25" t="s">
        <v>175</v>
      </c>
    </row>
    <row r="174" spans="1:21" x14ac:dyDescent="0.2">
      <c r="A174" s="28"/>
      <c r="B174" s="25" t="s">
        <v>814</v>
      </c>
      <c r="C174" s="25" t="s">
        <v>814</v>
      </c>
      <c r="D174" s="25" t="s">
        <v>813</v>
      </c>
      <c r="E174" s="25" t="s">
        <v>185</v>
      </c>
      <c r="F174" s="25" t="s">
        <v>804</v>
      </c>
      <c r="G174" s="25" t="s">
        <v>419</v>
      </c>
      <c r="H174" s="25" t="s">
        <v>694</v>
      </c>
      <c r="I174" s="27">
        <v>43822</v>
      </c>
      <c r="K174" s="27">
        <v>43822</v>
      </c>
      <c r="L174" s="26">
        <v>-121536</v>
      </c>
      <c r="M174" s="25">
        <v>2000251084</v>
      </c>
      <c r="N174" s="25" t="s">
        <v>812</v>
      </c>
      <c r="O174" s="25" t="s">
        <v>180</v>
      </c>
      <c r="P174" s="26">
        <v>0</v>
      </c>
      <c r="Q174" s="25" t="s">
        <v>709</v>
      </c>
      <c r="R174" s="25" t="s">
        <v>811</v>
      </c>
      <c r="S174" s="25" t="s">
        <v>177</v>
      </c>
      <c r="T174" s="25" t="s">
        <v>176</v>
      </c>
      <c r="U174" s="25" t="s">
        <v>175</v>
      </c>
    </row>
    <row r="175" spans="1:21" x14ac:dyDescent="0.2">
      <c r="A175" s="28"/>
      <c r="B175" s="25" t="s">
        <v>810</v>
      </c>
      <c r="C175" s="25">
        <v>13992519</v>
      </c>
      <c r="D175" s="25" t="s">
        <v>809</v>
      </c>
      <c r="E175" s="25" t="s">
        <v>185</v>
      </c>
      <c r="F175" s="25" t="s">
        <v>808</v>
      </c>
      <c r="G175" s="25" t="s">
        <v>183</v>
      </c>
      <c r="H175" s="25" t="s">
        <v>699</v>
      </c>
      <c r="I175" s="27">
        <v>43644</v>
      </c>
      <c r="K175" s="27">
        <v>43709</v>
      </c>
      <c r="L175" s="26">
        <v>-67296</v>
      </c>
      <c r="M175" s="25">
        <v>2000251084</v>
      </c>
      <c r="N175" s="25" t="s">
        <v>807</v>
      </c>
      <c r="O175" s="25" t="s">
        <v>180</v>
      </c>
      <c r="P175" s="26">
        <v>110</v>
      </c>
      <c r="Q175" s="25" t="s">
        <v>189</v>
      </c>
      <c r="R175" s="25" t="s">
        <v>720</v>
      </c>
      <c r="S175" s="25" t="s">
        <v>177</v>
      </c>
      <c r="T175" s="25" t="s">
        <v>176</v>
      </c>
      <c r="U175" s="25" t="s">
        <v>175</v>
      </c>
    </row>
    <row r="176" spans="1:21" x14ac:dyDescent="0.2">
      <c r="A176" s="28"/>
      <c r="B176" s="25" t="s">
        <v>806</v>
      </c>
      <c r="C176" s="25" t="s">
        <v>806</v>
      </c>
      <c r="D176" s="25" t="s">
        <v>693</v>
      </c>
      <c r="E176" s="25" t="s">
        <v>185</v>
      </c>
      <c r="F176" s="25" t="s">
        <v>805</v>
      </c>
      <c r="G176" s="25" t="s">
        <v>276</v>
      </c>
      <c r="H176" s="25" t="s">
        <v>694</v>
      </c>
      <c r="I176" s="27">
        <v>43805</v>
      </c>
      <c r="K176" s="27">
        <v>43805</v>
      </c>
      <c r="L176" s="26">
        <v>121536</v>
      </c>
      <c r="M176" s="25">
        <v>2000251084</v>
      </c>
      <c r="N176" s="25" t="s">
        <v>732</v>
      </c>
      <c r="O176" s="25" t="s">
        <v>271</v>
      </c>
      <c r="P176" s="26">
        <v>17</v>
      </c>
      <c r="Q176" s="25" t="s">
        <v>292</v>
      </c>
      <c r="R176" s="25" t="s">
        <v>693</v>
      </c>
      <c r="S176" s="25" t="s">
        <v>177</v>
      </c>
      <c r="T176" s="25" t="s">
        <v>176</v>
      </c>
      <c r="U176" s="25" t="s">
        <v>175</v>
      </c>
    </row>
    <row r="177" spans="1:21" x14ac:dyDescent="0.2">
      <c r="A177" s="28"/>
      <c r="B177" s="25" t="s">
        <v>836</v>
      </c>
      <c r="C177" s="25">
        <v>14046442</v>
      </c>
      <c r="D177" s="25" t="s">
        <v>539</v>
      </c>
      <c r="E177" s="25" t="s">
        <v>185</v>
      </c>
      <c r="F177" s="25" t="s">
        <v>835</v>
      </c>
      <c r="G177" s="25" t="s">
        <v>183</v>
      </c>
      <c r="H177" s="25" t="s">
        <v>834</v>
      </c>
      <c r="I177" s="27">
        <v>43693</v>
      </c>
      <c r="K177" s="27">
        <v>43774</v>
      </c>
      <c r="L177" s="26">
        <v>-173181</v>
      </c>
      <c r="M177" s="25">
        <v>2000242609</v>
      </c>
      <c r="N177" s="25" t="s">
        <v>833</v>
      </c>
      <c r="O177" s="25" t="s">
        <v>180</v>
      </c>
      <c r="P177" s="26">
        <v>13</v>
      </c>
      <c r="Q177" s="25" t="s">
        <v>535</v>
      </c>
      <c r="R177" s="25" t="s">
        <v>528</v>
      </c>
      <c r="S177" s="25" t="s">
        <v>177</v>
      </c>
      <c r="T177" s="25" t="s">
        <v>176</v>
      </c>
      <c r="U177" s="25" t="s">
        <v>175</v>
      </c>
    </row>
    <row r="178" spans="1:21" x14ac:dyDescent="0.2">
      <c r="A178" s="28"/>
      <c r="B178" s="25" t="s">
        <v>832</v>
      </c>
      <c r="C178" s="25">
        <v>14048409</v>
      </c>
      <c r="D178" s="25" t="s">
        <v>539</v>
      </c>
      <c r="E178" s="25" t="s">
        <v>351</v>
      </c>
      <c r="F178" s="25" t="s">
        <v>831</v>
      </c>
      <c r="G178" s="25" t="s">
        <v>183</v>
      </c>
      <c r="H178" s="25" t="s">
        <v>530</v>
      </c>
      <c r="I178" s="27">
        <v>43697</v>
      </c>
      <c r="K178" s="27">
        <v>43774</v>
      </c>
      <c r="L178" s="26">
        <v>-54400</v>
      </c>
      <c r="M178" s="25">
        <v>2000242609</v>
      </c>
      <c r="N178" s="25" t="s">
        <v>822</v>
      </c>
      <c r="O178" s="25" t="s">
        <v>180</v>
      </c>
      <c r="P178" s="26">
        <v>13</v>
      </c>
      <c r="Q178" s="25" t="s">
        <v>535</v>
      </c>
      <c r="R178" s="25" t="s">
        <v>528</v>
      </c>
      <c r="S178" s="25" t="s">
        <v>177</v>
      </c>
      <c r="T178" s="25" t="s">
        <v>176</v>
      </c>
      <c r="U178" s="25" t="s">
        <v>175</v>
      </c>
    </row>
    <row r="179" spans="1:21" x14ac:dyDescent="0.2">
      <c r="A179" s="28"/>
      <c r="B179" s="25" t="s">
        <v>540</v>
      </c>
      <c r="C179" s="25">
        <v>14059388</v>
      </c>
      <c r="D179" s="25" t="s">
        <v>827</v>
      </c>
      <c r="E179" s="25" t="s">
        <v>185</v>
      </c>
      <c r="F179" s="25" t="s">
        <v>538</v>
      </c>
      <c r="G179" s="25" t="s">
        <v>183</v>
      </c>
      <c r="H179" s="25" t="s">
        <v>830</v>
      </c>
      <c r="I179" s="27">
        <v>43817</v>
      </c>
      <c r="K179" s="27">
        <v>43817</v>
      </c>
      <c r="L179" s="26">
        <v>-129115</v>
      </c>
      <c r="M179" s="25">
        <v>2000242609</v>
      </c>
      <c r="N179" s="25" t="s">
        <v>829</v>
      </c>
      <c r="O179" s="25" t="s">
        <v>180</v>
      </c>
      <c r="P179" s="26">
        <v>-17</v>
      </c>
      <c r="Q179" s="25" t="s">
        <v>535</v>
      </c>
      <c r="R179" s="25" t="s">
        <v>534</v>
      </c>
      <c r="S179" s="25" t="s">
        <v>177</v>
      </c>
      <c r="T179" s="25" t="s">
        <v>176</v>
      </c>
      <c r="U179" s="25" t="s">
        <v>175</v>
      </c>
    </row>
    <row r="180" spans="1:21" x14ac:dyDescent="0.2">
      <c r="A180" s="28"/>
      <c r="B180" s="25" t="s">
        <v>828</v>
      </c>
      <c r="C180" s="25" t="s">
        <v>828</v>
      </c>
      <c r="D180" s="25" t="s">
        <v>827</v>
      </c>
      <c r="E180" s="25" t="s">
        <v>351</v>
      </c>
      <c r="F180" s="25" t="s">
        <v>817</v>
      </c>
      <c r="G180" s="25" t="s">
        <v>419</v>
      </c>
      <c r="H180" s="25" t="s">
        <v>530</v>
      </c>
      <c r="I180" s="27">
        <v>43817</v>
      </c>
      <c r="K180" s="27">
        <v>43817</v>
      </c>
      <c r="L180" s="26">
        <v>54400</v>
      </c>
      <c r="M180" s="25">
        <v>2000242609</v>
      </c>
      <c r="N180" s="25" t="s">
        <v>826</v>
      </c>
      <c r="O180" s="25" t="s">
        <v>271</v>
      </c>
      <c r="P180" s="26">
        <v>0</v>
      </c>
      <c r="Q180" s="25" t="s">
        <v>535</v>
      </c>
      <c r="R180" s="25" t="s">
        <v>826</v>
      </c>
      <c r="S180" s="25" t="s">
        <v>177</v>
      </c>
      <c r="T180" s="25" t="s">
        <v>176</v>
      </c>
      <c r="U180" s="25" t="s">
        <v>175</v>
      </c>
    </row>
    <row r="181" spans="1:21" x14ac:dyDescent="0.2">
      <c r="A181" s="28"/>
      <c r="B181" s="25" t="s">
        <v>828</v>
      </c>
      <c r="C181" s="25" t="s">
        <v>828</v>
      </c>
      <c r="D181" s="25" t="s">
        <v>827</v>
      </c>
      <c r="E181" s="25" t="s">
        <v>185</v>
      </c>
      <c r="F181" s="25" t="s">
        <v>817</v>
      </c>
      <c r="G181" s="25" t="s">
        <v>419</v>
      </c>
      <c r="H181" s="25" t="s">
        <v>818</v>
      </c>
      <c r="I181" s="27">
        <v>43817</v>
      </c>
      <c r="K181" s="27">
        <v>43817</v>
      </c>
      <c r="L181" s="26">
        <v>-54400</v>
      </c>
      <c r="M181" s="25">
        <v>2000242609</v>
      </c>
      <c r="N181" s="25" t="s">
        <v>826</v>
      </c>
      <c r="O181" s="25" t="s">
        <v>180</v>
      </c>
      <c r="P181" s="26">
        <v>0</v>
      </c>
      <c r="Q181" s="25" t="s">
        <v>535</v>
      </c>
      <c r="R181" s="25" t="s">
        <v>826</v>
      </c>
      <c r="S181" s="25" t="s">
        <v>177</v>
      </c>
      <c r="T181" s="25" t="s">
        <v>176</v>
      </c>
      <c r="U181" s="25" t="s">
        <v>175</v>
      </c>
    </row>
    <row r="182" spans="1:21" x14ac:dyDescent="0.2">
      <c r="A182" s="28"/>
      <c r="B182" s="25" t="s">
        <v>825</v>
      </c>
      <c r="C182" s="25">
        <v>13888908</v>
      </c>
      <c r="D182" s="25" t="s">
        <v>824</v>
      </c>
      <c r="E182" s="25" t="s">
        <v>185</v>
      </c>
      <c r="F182" s="25" t="s">
        <v>823</v>
      </c>
      <c r="G182" s="25" t="s">
        <v>183</v>
      </c>
      <c r="H182" s="25" t="s">
        <v>530</v>
      </c>
      <c r="I182" s="27">
        <v>43554</v>
      </c>
      <c r="K182" s="27">
        <v>43627</v>
      </c>
      <c r="L182" s="26">
        <v>-55098</v>
      </c>
      <c r="M182" s="25">
        <v>2000242609</v>
      </c>
      <c r="N182" s="25" t="s">
        <v>822</v>
      </c>
      <c r="O182" s="25" t="s">
        <v>180</v>
      </c>
      <c r="P182" s="26">
        <v>223</v>
      </c>
      <c r="Q182" s="25" t="s">
        <v>189</v>
      </c>
      <c r="R182" s="25" t="s">
        <v>821</v>
      </c>
      <c r="S182" s="25" t="s">
        <v>177</v>
      </c>
      <c r="T182" s="25" t="s">
        <v>176</v>
      </c>
      <c r="U182" s="25" t="s">
        <v>175</v>
      </c>
    </row>
    <row r="183" spans="1:21" x14ac:dyDescent="0.2">
      <c r="A183" s="28"/>
      <c r="B183" s="25" t="s">
        <v>820</v>
      </c>
      <c r="C183" s="25" t="s">
        <v>820</v>
      </c>
      <c r="D183" s="25" t="s">
        <v>816</v>
      </c>
      <c r="E183" s="25" t="s">
        <v>185</v>
      </c>
      <c r="F183" s="25" t="s">
        <v>819</v>
      </c>
      <c r="G183" s="25" t="s">
        <v>276</v>
      </c>
      <c r="H183" s="25" t="s">
        <v>818</v>
      </c>
      <c r="I183" s="27">
        <v>43805</v>
      </c>
      <c r="K183" s="27">
        <v>43805</v>
      </c>
      <c r="L183" s="26">
        <v>411794</v>
      </c>
      <c r="M183" s="25">
        <v>2000242609</v>
      </c>
      <c r="N183" s="25" t="s">
        <v>732</v>
      </c>
      <c r="O183" s="25" t="s">
        <v>271</v>
      </c>
      <c r="P183" s="26">
        <v>12</v>
      </c>
      <c r="Q183" s="25" t="s">
        <v>292</v>
      </c>
      <c r="R183" s="25" t="s">
        <v>816</v>
      </c>
      <c r="S183" s="25" t="s">
        <v>177</v>
      </c>
      <c r="T183" s="25" t="s">
        <v>176</v>
      </c>
      <c r="U183" s="25" t="s">
        <v>175</v>
      </c>
    </row>
    <row r="184" spans="1:21" x14ac:dyDescent="0.2">
      <c r="A184" s="28"/>
      <c r="B184" s="25" t="s">
        <v>850</v>
      </c>
      <c r="C184" s="25">
        <v>14046343</v>
      </c>
      <c r="D184" s="25" t="s">
        <v>846</v>
      </c>
      <c r="E184" s="25" t="s">
        <v>185</v>
      </c>
      <c r="F184" s="25" t="s">
        <v>849</v>
      </c>
      <c r="G184" s="25" t="s">
        <v>183</v>
      </c>
      <c r="H184" s="25" t="s">
        <v>443</v>
      </c>
      <c r="I184" s="27">
        <v>43693</v>
      </c>
      <c r="K184" s="27">
        <v>43774</v>
      </c>
      <c r="L184" s="26">
        <v>-54400</v>
      </c>
      <c r="M184" s="25">
        <v>2000242300</v>
      </c>
      <c r="N184" s="25" t="s">
        <v>848</v>
      </c>
      <c r="O184" s="25" t="s">
        <v>180</v>
      </c>
      <c r="P184" s="26">
        <v>1</v>
      </c>
      <c r="Q184" s="25" t="s">
        <v>189</v>
      </c>
      <c r="R184" s="25" t="s">
        <v>188</v>
      </c>
      <c r="S184" s="25" t="s">
        <v>177</v>
      </c>
      <c r="T184" s="25" t="s">
        <v>176</v>
      </c>
      <c r="U184" s="25" t="s">
        <v>175</v>
      </c>
    </row>
    <row r="185" spans="1:21" x14ac:dyDescent="0.2">
      <c r="A185" s="28"/>
      <c r="B185" s="25" t="s">
        <v>847</v>
      </c>
      <c r="C185" s="25">
        <v>14046288</v>
      </c>
      <c r="D185" s="25" t="s">
        <v>846</v>
      </c>
      <c r="E185" s="25" t="s">
        <v>185</v>
      </c>
      <c r="F185" s="25" t="s">
        <v>845</v>
      </c>
      <c r="G185" s="25" t="s">
        <v>183</v>
      </c>
      <c r="H185" s="25" t="s">
        <v>443</v>
      </c>
      <c r="I185" s="27">
        <v>43693</v>
      </c>
      <c r="K185" s="27">
        <v>43774</v>
      </c>
      <c r="L185" s="26">
        <v>-54400</v>
      </c>
      <c r="M185" s="25">
        <v>2000242300</v>
      </c>
      <c r="N185" s="25" t="s">
        <v>844</v>
      </c>
      <c r="O185" s="25" t="s">
        <v>180</v>
      </c>
      <c r="P185" s="26">
        <v>1</v>
      </c>
      <c r="Q185" s="25" t="s">
        <v>189</v>
      </c>
      <c r="R185" s="25" t="s">
        <v>188</v>
      </c>
      <c r="S185" s="25" t="s">
        <v>177</v>
      </c>
      <c r="T185" s="25" t="s">
        <v>176</v>
      </c>
      <c r="U185" s="25" t="s">
        <v>175</v>
      </c>
    </row>
    <row r="186" spans="1:21" x14ac:dyDescent="0.2">
      <c r="A186" s="28"/>
      <c r="B186" s="25" t="s">
        <v>843</v>
      </c>
      <c r="C186" s="25" t="s">
        <v>843</v>
      </c>
      <c r="D186" s="25" t="s">
        <v>842</v>
      </c>
      <c r="E186" s="25" t="s">
        <v>185</v>
      </c>
      <c r="F186" s="25" t="s">
        <v>837</v>
      </c>
      <c r="G186" s="25" t="s">
        <v>419</v>
      </c>
      <c r="H186" s="25" t="s">
        <v>443</v>
      </c>
      <c r="I186" s="27">
        <v>43805</v>
      </c>
      <c r="K186" s="27">
        <v>43805</v>
      </c>
      <c r="L186" s="26">
        <v>108800</v>
      </c>
      <c r="M186" s="25">
        <v>2000242300</v>
      </c>
      <c r="N186" s="25" t="s">
        <v>840</v>
      </c>
      <c r="O186" s="25" t="s">
        <v>271</v>
      </c>
      <c r="P186" s="26">
        <v>0</v>
      </c>
      <c r="Q186" s="25" t="s">
        <v>841</v>
      </c>
      <c r="R186" s="25" t="s">
        <v>840</v>
      </c>
      <c r="S186" s="25" t="s">
        <v>177</v>
      </c>
      <c r="T186" s="25" t="s">
        <v>176</v>
      </c>
      <c r="U186" s="25" t="s">
        <v>175</v>
      </c>
    </row>
    <row r="187" spans="1:21" x14ac:dyDescent="0.2">
      <c r="A187" s="28"/>
      <c r="B187" s="25" t="s">
        <v>843</v>
      </c>
      <c r="C187" s="25" t="s">
        <v>843</v>
      </c>
      <c r="D187" s="25" t="s">
        <v>842</v>
      </c>
      <c r="E187" s="25" t="s">
        <v>185</v>
      </c>
      <c r="F187" s="25" t="s">
        <v>837</v>
      </c>
      <c r="G187" s="25" t="s">
        <v>419</v>
      </c>
      <c r="H187" s="25" t="s">
        <v>275</v>
      </c>
      <c r="I187" s="27">
        <v>43805</v>
      </c>
      <c r="K187" s="27">
        <v>43805</v>
      </c>
      <c r="L187" s="26">
        <v>-108800</v>
      </c>
      <c r="M187" s="25">
        <v>2000242300</v>
      </c>
      <c r="N187" s="25" t="s">
        <v>840</v>
      </c>
      <c r="O187" s="25" t="s">
        <v>180</v>
      </c>
      <c r="P187" s="26">
        <v>0</v>
      </c>
      <c r="Q187" s="25" t="s">
        <v>841</v>
      </c>
      <c r="R187" s="25" t="s">
        <v>840</v>
      </c>
      <c r="S187" s="25" t="s">
        <v>177</v>
      </c>
      <c r="T187" s="25" t="s">
        <v>176</v>
      </c>
      <c r="U187" s="25" t="s">
        <v>175</v>
      </c>
    </row>
    <row r="188" spans="1:21" x14ac:dyDescent="0.2">
      <c r="A188" s="28"/>
      <c r="B188" s="25" t="s">
        <v>839</v>
      </c>
      <c r="C188" s="25" t="s">
        <v>839</v>
      </c>
      <c r="D188" s="25" t="s">
        <v>279</v>
      </c>
      <c r="E188" s="25" t="s">
        <v>185</v>
      </c>
      <c r="F188" s="25" t="s">
        <v>838</v>
      </c>
      <c r="G188" s="25" t="s">
        <v>276</v>
      </c>
      <c r="H188" s="25" t="s">
        <v>275</v>
      </c>
      <c r="I188" s="27">
        <v>43805</v>
      </c>
      <c r="K188" s="27">
        <v>43805</v>
      </c>
      <c r="L188" s="26">
        <v>108800</v>
      </c>
      <c r="M188" s="25">
        <v>2000242300</v>
      </c>
      <c r="N188" s="25" t="s">
        <v>732</v>
      </c>
      <c r="O188" s="25" t="s">
        <v>271</v>
      </c>
      <c r="P188" s="26">
        <v>0</v>
      </c>
      <c r="Q188" s="25" t="s">
        <v>292</v>
      </c>
      <c r="R188" s="25" t="s">
        <v>279</v>
      </c>
      <c r="S188" s="25" t="s">
        <v>177</v>
      </c>
      <c r="T188" s="25" t="s">
        <v>176</v>
      </c>
      <c r="U188" s="25" t="s">
        <v>175</v>
      </c>
    </row>
    <row r="189" spans="1:21" x14ac:dyDescent="0.2">
      <c r="A189" s="28"/>
      <c r="B189" s="25" t="s">
        <v>854</v>
      </c>
      <c r="C189" s="25" t="s">
        <v>854</v>
      </c>
      <c r="D189" s="25" t="s">
        <v>880</v>
      </c>
      <c r="E189" s="25" t="s">
        <v>185</v>
      </c>
      <c r="F189" s="25" t="s">
        <v>852</v>
      </c>
      <c r="G189" s="25" t="s">
        <v>419</v>
      </c>
      <c r="H189" s="25" t="s">
        <v>294</v>
      </c>
      <c r="I189" s="27">
        <v>43714</v>
      </c>
      <c r="K189" s="27">
        <v>43735</v>
      </c>
      <c r="L189" s="26">
        <v>0</v>
      </c>
      <c r="M189" s="25">
        <v>2000198808</v>
      </c>
      <c r="N189" s="25" t="s">
        <v>417</v>
      </c>
      <c r="O189" s="25" t="s">
        <v>180</v>
      </c>
      <c r="P189" s="26">
        <v>21</v>
      </c>
      <c r="Q189" s="25" t="s">
        <v>557</v>
      </c>
      <c r="R189" s="25" t="s">
        <v>417</v>
      </c>
      <c r="S189" s="25" t="s">
        <v>177</v>
      </c>
      <c r="T189" s="25" t="s">
        <v>176</v>
      </c>
      <c r="U189" s="25" t="s">
        <v>175</v>
      </c>
    </row>
    <row r="190" spans="1:21" x14ac:dyDescent="0.2">
      <c r="A190" s="28"/>
      <c r="B190" s="25" t="s">
        <v>879</v>
      </c>
      <c r="C190" s="25">
        <v>13970054</v>
      </c>
      <c r="D190" s="25" t="s">
        <v>226</v>
      </c>
      <c r="E190" s="25" t="s">
        <v>185</v>
      </c>
      <c r="F190" s="25" t="s">
        <v>878</v>
      </c>
      <c r="G190" s="25" t="s">
        <v>183</v>
      </c>
      <c r="H190" s="25" t="s">
        <v>258</v>
      </c>
      <c r="I190" s="27">
        <v>43624</v>
      </c>
      <c r="K190" s="27">
        <v>43713</v>
      </c>
      <c r="L190" s="26">
        <v>-403576</v>
      </c>
      <c r="M190" s="25">
        <v>2000198808</v>
      </c>
      <c r="N190" s="25" t="s">
        <v>877</v>
      </c>
      <c r="O190" s="25" t="s">
        <v>180</v>
      </c>
      <c r="P190" s="26">
        <v>23</v>
      </c>
      <c r="Q190" s="25" t="s">
        <v>179</v>
      </c>
      <c r="R190" s="25" t="s">
        <v>217</v>
      </c>
      <c r="S190" s="25" t="s">
        <v>177</v>
      </c>
      <c r="T190" s="25" t="s">
        <v>176</v>
      </c>
      <c r="U190" s="25" t="s">
        <v>175</v>
      </c>
    </row>
    <row r="191" spans="1:21" x14ac:dyDescent="0.2">
      <c r="A191" s="28"/>
      <c r="B191" s="25" t="s">
        <v>876</v>
      </c>
      <c r="C191" s="25">
        <v>13972081</v>
      </c>
      <c r="D191" s="25" t="s">
        <v>226</v>
      </c>
      <c r="E191" s="25" t="s">
        <v>185</v>
      </c>
      <c r="F191" s="25" t="s">
        <v>875</v>
      </c>
      <c r="G191" s="25" t="s">
        <v>183</v>
      </c>
      <c r="H191" s="25" t="s">
        <v>258</v>
      </c>
      <c r="I191" s="27">
        <v>43626</v>
      </c>
      <c r="K191" s="27">
        <v>43713</v>
      </c>
      <c r="L191" s="26">
        <v>-134058</v>
      </c>
      <c r="M191" s="25">
        <v>2000198808</v>
      </c>
      <c r="N191" s="25" t="s">
        <v>863</v>
      </c>
      <c r="O191" s="25" t="s">
        <v>180</v>
      </c>
      <c r="P191" s="26">
        <v>23</v>
      </c>
      <c r="Q191" s="25" t="s">
        <v>179</v>
      </c>
      <c r="R191" s="25" t="s">
        <v>217</v>
      </c>
      <c r="S191" s="25" t="s">
        <v>177</v>
      </c>
      <c r="T191" s="25" t="s">
        <v>176</v>
      </c>
      <c r="U191" s="25" t="s">
        <v>175</v>
      </c>
    </row>
    <row r="192" spans="1:21" x14ac:dyDescent="0.2">
      <c r="A192" s="28"/>
      <c r="B192" s="25" t="s">
        <v>874</v>
      </c>
      <c r="C192" s="25">
        <v>13980249</v>
      </c>
      <c r="D192" s="25" t="s">
        <v>226</v>
      </c>
      <c r="E192" s="25" t="s">
        <v>185</v>
      </c>
      <c r="F192" s="25" t="s">
        <v>873</v>
      </c>
      <c r="G192" s="25" t="s">
        <v>183</v>
      </c>
      <c r="H192" s="25" t="s">
        <v>219</v>
      </c>
      <c r="I192" s="27">
        <v>43633</v>
      </c>
      <c r="K192" s="27">
        <v>43713</v>
      </c>
      <c r="L192" s="26">
        <v>-277028</v>
      </c>
      <c r="M192" s="25">
        <v>2000198808</v>
      </c>
      <c r="N192" s="25" t="s">
        <v>855</v>
      </c>
      <c r="O192" s="25" t="s">
        <v>180</v>
      </c>
      <c r="P192" s="26">
        <v>23</v>
      </c>
      <c r="Q192" s="25" t="s">
        <v>179</v>
      </c>
      <c r="R192" s="25" t="s">
        <v>217</v>
      </c>
      <c r="S192" s="25" t="s">
        <v>177</v>
      </c>
      <c r="T192" s="25" t="s">
        <v>176</v>
      </c>
      <c r="U192" s="25" t="s">
        <v>175</v>
      </c>
    </row>
    <row r="193" spans="1:22" x14ac:dyDescent="0.2">
      <c r="A193" s="28"/>
      <c r="B193" s="25" t="s">
        <v>872</v>
      </c>
      <c r="C193" s="25">
        <v>13982194</v>
      </c>
      <c r="D193" s="25" t="s">
        <v>226</v>
      </c>
      <c r="E193" s="25" t="s">
        <v>185</v>
      </c>
      <c r="F193" s="25" t="s">
        <v>871</v>
      </c>
      <c r="G193" s="25" t="s">
        <v>183</v>
      </c>
      <c r="H193" s="25" t="s">
        <v>219</v>
      </c>
      <c r="I193" s="27">
        <v>43635</v>
      </c>
      <c r="K193" s="27">
        <v>43713</v>
      </c>
      <c r="L193" s="26">
        <v>-54776</v>
      </c>
      <c r="M193" s="25">
        <v>2000198808</v>
      </c>
      <c r="N193" s="25" t="s">
        <v>855</v>
      </c>
      <c r="O193" s="25" t="s">
        <v>180</v>
      </c>
      <c r="P193" s="26">
        <v>23</v>
      </c>
      <c r="Q193" s="25" t="s">
        <v>179</v>
      </c>
      <c r="R193" s="25" t="s">
        <v>217</v>
      </c>
      <c r="S193" s="25" t="s">
        <v>177</v>
      </c>
      <c r="T193" s="25" t="s">
        <v>176</v>
      </c>
      <c r="U193" s="25" t="s">
        <v>175</v>
      </c>
    </row>
    <row r="194" spans="1:22" x14ac:dyDescent="0.2">
      <c r="A194" s="28"/>
      <c r="B194" s="25" t="s">
        <v>227</v>
      </c>
      <c r="C194" s="25">
        <v>13985748</v>
      </c>
      <c r="D194" s="25" t="s">
        <v>226</v>
      </c>
      <c r="E194" s="25" t="s">
        <v>185</v>
      </c>
      <c r="F194" s="25" t="s">
        <v>225</v>
      </c>
      <c r="G194" s="25" t="s">
        <v>183</v>
      </c>
      <c r="H194" s="25" t="s">
        <v>219</v>
      </c>
      <c r="I194" s="27">
        <v>43637</v>
      </c>
      <c r="K194" s="27">
        <v>43713</v>
      </c>
      <c r="L194" s="26">
        <v>-205900</v>
      </c>
      <c r="M194" s="25">
        <v>2000198808</v>
      </c>
      <c r="N194" s="25" t="s">
        <v>866</v>
      </c>
      <c r="O194" s="25" t="s">
        <v>180</v>
      </c>
      <c r="P194" s="26">
        <v>23</v>
      </c>
      <c r="Q194" s="25" t="s">
        <v>179</v>
      </c>
      <c r="R194" s="25" t="s">
        <v>217</v>
      </c>
      <c r="S194" s="25" t="s">
        <v>177</v>
      </c>
      <c r="T194" s="25" t="s">
        <v>176</v>
      </c>
      <c r="U194" s="25" t="s">
        <v>175</v>
      </c>
    </row>
    <row r="195" spans="1:22" x14ac:dyDescent="0.2">
      <c r="A195" s="28"/>
      <c r="B195" s="25" t="s">
        <v>870</v>
      </c>
      <c r="C195" s="25">
        <v>13985832</v>
      </c>
      <c r="D195" s="25" t="s">
        <v>226</v>
      </c>
      <c r="E195" s="25" t="s">
        <v>185</v>
      </c>
      <c r="F195" s="25" t="s">
        <v>869</v>
      </c>
      <c r="G195" s="25" t="s">
        <v>183</v>
      </c>
      <c r="H195" s="25" t="s">
        <v>219</v>
      </c>
      <c r="I195" s="27">
        <v>43637</v>
      </c>
      <c r="K195" s="27">
        <v>43713</v>
      </c>
      <c r="L195" s="26">
        <v>-66200</v>
      </c>
      <c r="M195" s="25">
        <v>2000198808</v>
      </c>
      <c r="N195" s="25" t="s">
        <v>866</v>
      </c>
      <c r="O195" s="25" t="s">
        <v>180</v>
      </c>
      <c r="P195" s="26">
        <v>23</v>
      </c>
      <c r="Q195" s="25" t="s">
        <v>179</v>
      </c>
      <c r="R195" s="25" t="s">
        <v>217</v>
      </c>
      <c r="S195" s="25" t="s">
        <v>177</v>
      </c>
      <c r="T195" s="25" t="s">
        <v>176</v>
      </c>
      <c r="U195" s="25" t="s">
        <v>175</v>
      </c>
    </row>
    <row r="196" spans="1:22" x14ac:dyDescent="0.2">
      <c r="A196" s="28"/>
      <c r="B196" s="25" t="s">
        <v>770</v>
      </c>
      <c r="C196" s="25">
        <v>13987406</v>
      </c>
      <c r="D196" s="25" t="s">
        <v>226</v>
      </c>
      <c r="E196" s="25" t="s">
        <v>185</v>
      </c>
      <c r="F196" s="25" t="s">
        <v>769</v>
      </c>
      <c r="G196" s="25" t="s">
        <v>183</v>
      </c>
      <c r="H196" s="25" t="s">
        <v>219</v>
      </c>
      <c r="I196" s="27">
        <v>43639</v>
      </c>
      <c r="K196" s="27">
        <v>43713</v>
      </c>
      <c r="L196" s="26">
        <v>-53995</v>
      </c>
      <c r="M196" s="25">
        <v>2000198808</v>
      </c>
      <c r="N196" s="25" t="s">
        <v>670</v>
      </c>
      <c r="O196" s="25" t="s">
        <v>180</v>
      </c>
      <c r="P196" s="26">
        <v>23</v>
      </c>
      <c r="Q196" s="25" t="s">
        <v>179</v>
      </c>
      <c r="R196" s="25" t="s">
        <v>217</v>
      </c>
      <c r="S196" s="25" t="s">
        <v>177</v>
      </c>
      <c r="T196" s="25" t="s">
        <v>176</v>
      </c>
      <c r="U196" s="25" t="s">
        <v>175</v>
      </c>
    </row>
    <row r="197" spans="1:22" x14ac:dyDescent="0.2">
      <c r="A197" s="28"/>
      <c r="B197" s="25" t="s">
        <v>868</v>
      </c>
      <c r="C197" s="25">
        <v>13983287</v>
      </c>
      <c r="D197" s="25" t="s">
        <v>222</v>
      </c>
      <c r="E197" s="25" t="s">
        <v>185</v>
      </c>
      <c r="F197" s="25" t="s">
        <v>867</v>
      </c>
      <c r="G197" s="25" t="s">
        <v>183</v>
      </c>
      <c r="H197" s="25" t="s">
        <v>219</v>
      </c>
      <c r="I197" s="27">
        <v>43635</v>
      </c>
      <c r="K197" s="27">
        <v>43713</v>
      </c>
      <c r="L197" s="26">
        <v>-33200</v>
      </c>
      <c r="M197" s="25">
        <v>2000198808</v>
      </c>
      <c r="N197" s="25" t="s">
        <v>866</v>
      </c>
      <c r="O197" s="25" t="s">
        <v>180</v>
      </c>
      <c r="P197" s="26">
        <v>23</v>
      </c>
      <c r="Q197" s="25" t="s">
        <v>179</v>
      </c>
      <c r="R197" s="25" t="s">
        <v>217</v>
      </c>
      <c r="S197" s="25" t="s">
        <v>177</v>
      </c>
      <c r="T197" s="25" t="s">
        <v>176</v>
      </c>
      <c r="U197" s="25" t="s">
        <v>175</v>
      </c>
    </row>
    <row r="198" spans="1:22" x14ac:dyDescent="0.2">
      <c r="A198" s="28"/>
      <c r="B198" s="25" t="s">
        <v>865</v>
      </c>
      <c r="C198" s="25">
        <v>13996526</v>
      </c>
      <c r="D198" s="25" t="s">
        <v>222</v>
      </c>
      <c r="E198" s="25" t="s">
        <v>185</v>
      </c>
      <c r="F198" s="25" t="s">
        <v>864</v>
      </c>
      <c r="G198" s="25" t="s">
        <v>183</v>
      </c>
      <c r="H198" s="25" t="s">
        <v>258</v>
      </c>
      <c r="I198" s="27">
        <v>43649</v>
      </c>
      <c r="K198" s="27">
        <v>43713</v>
      </c>
      <c r="L198" s="26">
        <v>-54400</v>
      </c>
      <c r="M198" s="25">
        <v>2000198808</v>
      </c>
      <c r="N198" s="25" t="s">
        <v>863</v>
      </c>
      <c r="O198" s="25" t="s">
        <v>180</v>
      </c>
      <c r="P198" s="26">
        <v>23</v>
      </c>
      <c r="Q198" s="25" t="s">
        <v>179</v>
      </c>
      <c r="R198" s="25" t="s">
        <v>217</v>
      </c>
      <c r="S198" s="25" t="s">
        <v>177</v>
      </c>
      <c r="T198" s="25" t="s">
        <v>176</v>
      </c>
      <c r="U198" s="25" t="s">
        <v>175</v>
      </c>
    </row>
    <row r="199" spans="1:22" x14ac:dyDescent="0.2">
      <c r="A199" s="28"/>
      <c r="B199" s="25" t="s">
        <v>862</v>
      </c>
      <c r="C199" s="25">
        <v>14005825</v>
      </c>
      <c r="D199" s="25" t="s">
        <v>222</v>
      </c>
      <c r="E199" s="25" t="s">
        <v>185</v>
      </c>
      <c r="F199" s="25" t="s">
        <v>861</v>
      </c>
      <c r="G199" s="25" t="s">
        <v>183</v>
      </c>
      <c r="H199" s="25" t="s">
        <v>219</v>
      </c>
      <c r="I199" s="27">
        <v>43657</v>
      </c>
      <c r="K199" s="27">
        <v>43713</v>
      </c>
      <c r="L199" s="26">
        <v>-102392</v>
      </c>
      <c r="M199" s="25">
        <v>2000198808</v>
      </c>
      <c r="N199" s="25" t="s">
        <v>860</v>
      </c>
      <c r="O199" s="25" t="s">
        <v>180</v>
      </c>
      <c r="P199" s="26">
        <v>23</v>
      </c>
      <c r="Q199" s="25" t="s">
        <v>179</v>
      </c>
      <c r="R199" s="25" t="s">
        <v>217</v>
      </c>
      <c r="S199" s="25" t="s">
        <v>177</v>
      </c>
      <c r="T199" s="25" t="s">
        <v>176</v>
      </c>
      <c r="U199" s="25" t="s">
        <v>175</v>
      </c>
    </row>
    <row r="200" spans="1:22" x14ac:dyDescent="0.2">
      <c r="A200" s="28"/>
      <c r="B200" s="25" t="s">
        <v>859</v>
      </c>
      <c r="C200" s="25">
        <v>14020236</v>
      </c>
      <c r="D200" s="25" t="s">
        <v>222</v>
      </c>
      <c r="E200" s="25" t="s">
        <v>185</v>
      </c>
      <c r="F200" s="25" t="s">
        <v>858</v>
      </c>
      <c r="G200" s="25" t="s">
        <v>183</v>
      </c>
      <c r="H200" s="25" t="s">
        <v>219</v>
      </c>
      <c r="I200" s="27">
        <v>43670</v>
      </c>
      <c r="K200" s="27">
        <v>43713</v>
      </c>
      <c r="L200" s="26">
        <v>-47800</v>
      </c>
      <c r="M200" s="25">
        <v>2000198808</v>
      </c>
      <c r="N200" s="25" t="s">
        <v>855</v>
      </c>
      <c r="O200" s="25" t="s">
        <v>180</v>
      </c>
      <c r="P200" s="26">
        <v>23</v>
      </c>
      <c r="Q200" s="25" t="s">
        <v>179</v>
      </c>
      <c r="R200" s="25" t="s">
        <v>217</v>
      </c>
      <c r="S200" s="25" t="s">
        <v>177</v>
      </c>
      <c r="T200" s="25" t="s">
        <v>176</v>
      </c>
      <c r="U200" s="25" t="s">
        <v>175</v>
      </c>
    </row>
    <row r="201" spans="1:22" x14ac:dyDescent="0.2">
      <c r="A201" s="28"/>
      <c r="B201" s="25" t="s">
        <v>857</v>
      </c>
      <c r="C201" s="25">
        <v>14027666</v>
      </c>
      <c r="D201" s="25" t="s">
        <v>222</v>
      </c>
      <c r="E201" s="25" t="s">
        <v>185</v>
      </c>
      <c r="F201" s="25" t="s">
        <v>856</v>
      </c>
      <c r="G201" s="25" t="s">
        <v>183</v>
      </c>
      <c r="H201" s="25" t="s">
        <v>219</v>
      </c>
      <c r="I201" s="27">
        <v>43676</v>
      </c>
      <c r="K201" s="27">
        <v>43713</v>
      </c>
      <c r="L201" s="26">
        <v>-33200</v>
      </c>
      <c r="M201" s="25">
        <v>2000198808</v>
      </c>
      <c r="N201" s="25" t="s">
        <v>855</v>
      </c>
      <c r="O201" s="25" t="s">
        <v>180</v>
      </c>
      <c r="P201" s="26">
        <v>23</v>
      </c>
      <c r="Q201" s="25" t="s">
        <v>179</v>
      </c>
      <c r="R201" s="25" t="s">
        <v>217</v>
      </c>
      <c r="S201" s="25" t="s">
        <v>177</v>
      </c>
      <c r="T201" s="25" t="s">
        <v>176</v>
      </c>
      <c r="U201" s="25" t="s">
        <v>175</v>
      </c>
    </row>
    <row r="202" spans="1:22" x14ac:dyDescent="0.2">
      <c r="A202" s="28"/>
      <c r="B202" s="25" t="s">
        <v>854</v>
      </c>
      <c r="C202" s="25" t="s">
        <v>854</v>
      </c>
      <c r="D202" s="25" t="s">
        <v>570</v>
      </c>
      <c r="E202" s="25" t="s">
        <v>185</v>
      </c>
      <c r="F202" s="25" t="s">
        <v>853</v>
      </c>
      <c r="G202" s="25" t="s">
        <v>276</v>
      </c>
      <c r="H202" s="25" t="s">
        <v>294</v>
      </c>
      <c r="I202" s="27">
        <v>43714</v>
      </c>
      <c r="K202" s="27">
        <v>43714</v>
      </c>
      <c r="L202" s="26">
        <v>1466525</v>
      </c>
      <c r="M202" s="25">
        <v>2000198808</v>
      </c>
      <c r="N202" s="25" t="s">
        <v>851</v>
      </c>
      <c r="O202" s="25" t="s">
        <v>271</v>
      </c>
      <c r="P202" s="26">
        <v>21</v>
      </c>
      <c r="Q202" s="25" t="s">
        <v>270</v>
      </c>
      <c r="R202" s="25" t="s">
        <v>567</v>
      </c>
      <c r="S202" s="25" t="s">
        <v>177</v>
      </c>
      <c r="T202" s="25" t="s">
        <v>176</v>
      </c>
      <c r="U202" s="25" t="s">
        <v>175</v>
      </c>
    </row>
    <row r="203" spans="1:22" x14ac:dyDescent="0.2">
      <c r="A203" s="28"/>
      <c r="B203" s="25" t="s">
        <v>897</v>
      </c>
      <c r="C203" s="25">
        <v>13908407</v>
      </c>
      <c r="D203" s="25" t="s">
        <v>887</v>
      </c>
      <c r="E203" s="25" t="s">
        <v>185</v>
      </c>
      <c r="F203" s="25" t="s">
        <v>896</v>
      </c>
      <c r="G203" s="25" t="s">
        <v>183</v>
      </c>
      <c r="H203" s="25" t="s">
        <v>235</v>
      </c>
      <c r="I203" s="27">
        <v>43571</v>
      </c>
      <c r="K203" s="27">
        <v>43633</v>
      </c>
      <c r="L203" s="26">
        <v>-253179</v>
      </c>
      <c r="M203" s="25">
        <v>2000169385</v>
      </c>
      <c r="N203" s="25" t="s">
        <v>895</v>
      </c>
      <c r="O203" s="25" t="s">
        <v>180</v>
      </c>
      <c r="P203" s="26">
        <v>45</v>
      </c>
      <c r="Q203" s="25" t="s">
        <v>189</v>
      </c>
      <c r="R203" s="25" t="s">
        <v>228</v>
      </c>
      <c r="S203" s="25" t="s">
        <v>177</v>
      </c>
      <c r="T203" s="25" t="s">
        <v>176</v>
      </c>
      <c r="U203" s="25" t="s">
        <v>175</v>
      </c>
      <c r="V203" s="32" t="s">
        <v>1730</v>
      </c>
    </row>
    <row r="204" spans="1:22" x14ac:dyDescent="0.2">
      <c r="A204" s="28"/>
      <c r="B204" s="25" t="s">
        <v>894</v>
      </c>
      <c r="C204" s="25">
        <v>13917101</v>
      </c>
      <c r="D204" s="25" t="s">
        <v>887</v>
      </c>
      <c r="E204" s="25" t="s">
        <v>185</v>
      </c>
      <c r="F204" s="25" t="s">
        <v>893</v>
      </c>
      <c r="G204" s="25" t="s">
        <v>183</v>
      </c>
      <c r="H204" s="25" t="s">
        <v>235</v>
      </c>
      <c r="I204" s="27">
        <v>43580</v>
      </c>
      <c r="K204" s="27">
        <v>43633</v>
      </c>
      <c r="L204" s="26">
        <v>-726708</v>
      </c>
      <c r="M204" s="25">
        <v>2000169385</v>
      </c>
      <c r="N204" s="25" t="s">
        <v>892</v>
      </c>
      <c r="O204" s="25" t="s">
        <v>180</v>
      </c>
      <c r="P204" s="26">
        <v>45</v>
      </c>
      <c r="Q204" s="25" t="s">
        <v>189</v>
      </c>
      <c r="R204" s="25" t="s">
        <v>228</v>
      </c>
      <c r="S204" s="25" t="s">
        <v>177</v>
      </c>
      <c r="T204" s="25" t="s">
        <v>176</v>
      </c>
      <c r="U204" s="25" t="s">
        <v>175</v>
      </c>
      <c r="V204" s="32" t="s">
        <v>1730</v>
      </c>
    </row>
    <row r="205" spans="1:22" x14ac:dyDescent="0.2">
      <c r="A205" s="28"/>
      <c r="B205" s="25" t="s">
        <v>891</v>
      </c>
      <c r="C205" s="25">
        <v>13919396</v>
      </c>
      <c r="D205" s="25" t="s">
        <v>887</v>
      </c>
      <c r="E205" s="25" t="s">
        <v>185</v>
      </c>
      <c r="F205" s="25" t="s">
        <v>890</v>
      </c>
      <c r="G205" s="25" t="s">
        <v>183</v>
      </c>
      <c r="H205" s="25" t="s">
        <v>235</v>
      </c>
      <c r="I205" s="27">
        <v>43582</v>
      </c>
      <c r="K205" s="27">
        <v>43633</v>
      </c>
      <c r="L205" s="26">
        <v>-59366</v>
      </c>
      <c r="M205" s="25">
        <v>2000169385</v>
      </c>
      <c r="N205" s="25" t="s">
        <v>889</v>
      </c>
      <c r="O205" s="25" t="s">
        <v>180</v>
      </c>
      <c r="P205" s="26">
        <v>45</v>
      </c>
      <c r="Q205" s="25" t="s">
        <v>189</v>
      </c>
      <c r="R205" s="25" t="s">
        <v>228</v>
      </c>
      <c r="S205" s="25" t="s">
        <v>177</v>
      </c>
      <c r="T205" s="25" t="s">
        <v>176</v>
      </c>
      <c r="U205" s="25" t="s">
        <v>175</v>
      </c>
      <c r="V205" s="32" t="s">
        <v>1730</v>
      </c>
    </row>
    <row r="206" spans="1:22" x14ac:dyDescent="0.2">
      <c r="A206" s="28"/>
      <c r="B206" s="25" t="s">
        <v>888</v>
      </c>
      <c r="C206" s="25">
        <v>13919432</v>
      </c>
      <c r="D206" s="25" t="s">
        <v>887</v>
      </c>
      <c r="E206" s="25" t="s">
        <v>185</v>
      </c>
      <c r="F206" s="25" t="s">
        <v>886</v>
      </c>
      <c r="G206" s="25" t="s">
        <v>183</v>
      </c>
      <c r="H206" s="25" t="s">
        <v>235</v>
      </c>
      <c r="I206" s="27">
        <v>43582</v>
      </c>
      <c r="K206" s="27">
        <v>43633</v>
      </c>
      <c r="L206" s="26">
        <v>-134864</v>
      </c>
      <c r="M206" s="25">
        <v>2000169385</v>
      </c>
      <c r="N206" s="25" t="s">
        <v>885</v>
      </c>
      <c r="O206" s="25" t="s">
        <v>180</v>
      </c>
      <c r="P206" s="26">
        <v>45</v>
      </c>
      <c r="Q206" s="25" t="s">
        <v>189</v>
      </c>
      <c r="R206" s="25" t="s">
        <v>228</v>
      </c>
      <c r="S206" s="25" t="s">
        <v>177</v>
      </c>
      <c r="T206" s="25" t="s">
        <v>176</v>
      </c>
      <c r="U206" s="25" t="s">
        <v>175</v>
      </c>
      <c r="V206" s="32" t="s">
        <v>1730</v>
      </c>
    </row>
    <row r="207" spans="1:22" x14ac:dyDescent="0.2">
      <c r="A207" s="28"/>
      <c r="B207" s="25" t="s">
        <v>884</v>
      </c>
      <c r="C207" s="25" t="s">
        <v>884</v>
      </c>
      <c r="D207" s="25" t="s">
        <v>724</v>
      </c>
      <c r="E207" s="25" t="s">
        <v>185</v>
      </c>
      <c r="F207" s="25" t="s">
        <v>883</v>
      </c>
      <c r="G207" s="25" t="s">
        <v>276</v>
      </c>
      <c r="H207" s="25" t="s">
        <v>726</v>
      </c>
      <c r="I207" s="27">
        <v>43623</v>
      </c>
      <c r="K207" s="27">
        <v>43623</v>
      </c>
      <c r="L207" s="26">
        <v>1174117</v>
      </c>
      <c r="M207" s="25">
        <v>2000169385</v>
      </c>
      <c r="N207" s="25" t="s">
        <v>882</v>
      </c>
      <c r="O207" s="25" t="s">
        <v>271</v>
      </c>
      <c r="P207" s="26">
        <v>54</v>
      </c>
      <c r="Q207" s="25" t="s">
        <v>270</v>
      </c>
      <c r="R207" s="25" t="s">
        <v>881</v>
      </c>
      <c r="S207" s="25" t="s">
        <v>177</v>
      </c>
      <c r="T207" s="25" t="s">
        <v>176</v>
      </c>
      <c r="U207" s="25" t="s">
        <v>175</v>
      </c>
      <c r="V207" s="32" t="s">
        <v>1730</v>
      </c>
    </row>
    <row r="208" spans="1:22" x14ac:dyDescent="0.2">
      <c r="A208" s="28"/>
      <c r="B208" s="25" t="s">
        <v>901</v>
      </c>
      <c r="C208" s="25" t="s">
        <v>901</v>
      </c>
      <c r="D208" s="25" t="s">
        <v>909</v>
      </c>
      <c r="E208" s="25" t="s">
        <v>185</v>
      </c>
      <c r="F208" s="25" t="s">
        <v>899</v>
      </c>
      <c r="G208" s="25" t="s">
        <v>419</v>
      </c>
      <c r="H208" s="25" t="s">
        <v>240</v>
      </c>
      <c r="I208" s="27">
        <v>43623</v>
      </c>
      <c r="K208" s="27">
        <v>43654</v>
      </c>
      <c r="L208" s="26">
        <v>179825</v>
      </c>
      <c r="M208" s="25">
        <v>2000155355</v>
      </c>
      <c r="N208" s="25" t="s">
        <v>417</v>
      </c>
      <c r="O208" s="25" t="s">
        <v>271</v>
      </c>
      <c r="P208" s="26">
        <v>31</v>
      </c>
      <c r="Q208" s="25" t="s">
        <v>557</v>
      </c>
      <c r="R208" s="25" t="s">
        <v>417</v>
      </c>
      <c r="S208" s="25" t="s">
        <v>177</v>
      </c>
      <c r="T208" s="25" t="s">
        <v>176</v>
      </c>
      <c r="U208" s="25" t="s">
        <v>175</v>
      </c>
    </row>
    <row r="209" spans="1:21" x14ac:dyDescent="0.2">
      <c r="A209" s="28"/>
      <c r="B209" s="25" t="s">
        <v>901</v>
      </c>
      <c r="C209" s="25" t="s">
        <v>901</v>
      </c>
      <c r="D209" s="25" t="s">
        <v>909</v>
      </c>
      <c r="E209" s="25" t="s">
        <v>185</v>
      </c>
      <c r="F209" s="25" t="s">
        <v>899</v>
      </c>
      <c r="G209" s="25" t="s">
        <v>419</v>
      </c>
      <c r="H209" s="25" t="s">
        <v>678</v>
      </c>
      <c r="I209" s="27">
        <v>43623</v>
      </c>
      <c r="K209" s="27">
        <v>43654</v>
      </c>
      <c r="L209" s="26">
        <v>-179825</v>
      </c>
      <c r="M209" s="25">
        <v>2000155355</v>
      </c>
      <c r="N209" s="25" t="s">
        <v>417</v>
      </c>
      <c r="O209" s="25" t="s">
        <v>180</v>
      </c>
      <c r="P209" s="26">
        <v>31</v>
      </c>
      <c r="Q209" s="25" t="s">
        <v>557</v>
      </c>
      <c r="R209" s="25" t="s">
        <v>417</v>
      </c>
      <c r="S209" s="25" t="s">
        <v>177</v>
      </c>
      <c r="T209" s="25" t="s">
        <v>176</v>
      </c>
      <c r="U209" s="25" t="s">
        <v>175</v>
      </c>
    </row>
    <row r="210" spans="1:21" x14ac:dyDescent="0.2">
      <c r="A210" s="28"/>
      <c r="B210" s="25" t="s">
        <v>908</v>
      </c>
      <c r="C210" s="25">
        <v>13910263</v>
      </c>
      <c r="D210" s="25" t="s">
        <v>904</v>
      </c>
      <c r="E210" s="25" t="s">
        <v>185</v>
      </c>
      <c r="F210" s="25" t="s">
        <v>907</v>
      </c>
      <c r="G210" s="25" t="s">
        <v>183</v>
      </c>
      <c r="H210" s="25" t="s">
        <v>240</v>
      </c>
      <c r="I210" s="27">
        <v>43575</v>
      </c>
      <c r="K210" s="27">
        <v>43642</v>
      </c>
      <c r="L210" s="26">
        <v>-56193</v>
      </c>
      <c r="M210" s="25">
        <v>2000155355</v>
      </c>
      <c r="N210" s="25" t="s">
        <v>906</v>
      </c>
      <c r="O210" s="25" t="s">
        <v>180</v>
      </c>
      <c r="P210" s="26">
        <v>22</v>
      </c>
      <c r="Q210" s="25" t="s">
        <v>179</v>
      </c>
      <c r="R210" s="25" t="s">
        <v>238</v>
      </c>
      <c r="S210" s="25" t="s">
        <v>177</v>
      </c>
      <c r="T210" s="25" t="s">
        <v>176</v>
      </c>
      <c r="U210" s="25" t="s">
        <v>175</v>
      </c>
    </row>
    <row r="211" spans="1:21" x14ac:dyDescent="0.2">
      <c r="A211" s="28"/>
      <c r="B211" s="25" t="s">
        <v>905</v>
      </c>
      <c r="C211" s="25">
        <v>13915544</v>
      </c>
      <c r="D211" s="25" t="s">
        <v>904</v>
      </c>
      <c r="E211" s="25" t="s">
        <v>185</v>
      </c>
      <c r="F211" s="25" t="s">
        <v>903</v>
      </c>
      <c r="G211" s="25" t="s">
        <v>183</v>
      </c>
      <c r="H211" s="25" t="s">
        <v>240</v>
      </c>
      <c r="I211" s="27">
        <v>43579</v>
      </c>
      <c r="K211" s="27">
        <v>43642</v>
      </c>
      <c r="L211" s="26">
        <v>-123632</v>
      </c>
      <c r="M211" s="25">
        <v>2000155355</v>
      </c>
      <c r="N211" s="25" t="s">
        <v>902</v>
      </c>
      <c r="O211" s="25" t="s">
        <v>180</v>
      </c>
      <c r="P211" s="26">
        <v>22</v>
      </c>
      <c r="Q211" s="25" t="s">
        <v>179</v>
      </c>
      <c r="R211" s="25" t="s">
        <v>238</v>
      </c>
      <c r="S211" s="25" t="s">
        <v>177</v>
      </c>
      <c r="T211" s="25" t="s">
        <v>176</v>
      </c>
      <c r="U211" s="25" t="s">
        <v>175</v>
      </c>
    </row>
    <row r="212" spans="1:21" x14ac:dyDescent="0.2">
      <c r="A212" s="28"/>
      <c r="B212" s="25" t="s">
        <v>901</v>
      </c>
      <c r="C212" s="25" t="s">
        <v>901</v>
      </c>
      <c r="D212" s="25" t="s">
        <v>676</v>
      </c>
      <c r="E212" s="25" t="s">
        <v>185</v>
      </c>
      <c r="F212" s="25" t="s">
        <v>900</v>
      </c>
      <c r="G212" s="25" t="s">
        <v>276</v>
      </c>
      <c r="H212" s="25" t="s">
        <v>678</v>
      </c>
      <c r="I212" s="27">
        <v>43623</v>
      </c>
      <c r="K212" s="27">
        <v>43623</v>
      </c>
      <c r="L212" s="26">
        <v>179825</v>
      </c>
      <c r="M212" s="25">
        <v>2000155355</v>
      </c>
      <c r="N212" s="25" t="s">
        <v>882</v>
      </c>
      <c r="O212" s="25" t="s">
        <v>271</v>
      </c>
      <c r="P212" s="26">
        <v>31</v>
      </c>
      <c r="Q212" s="25" t="s">
        <v>270</v>
      </c>
      <c r="R212" s="25" t="s">
        <v>898</v>
      </c>
      <c r="S212" s="25" t="s">
        <v>177</v>
      </c>
      <c r="T212" s="25" t="s">
        <v>176</v>
      </c>
      <c r="U212" s="25" t="s">
        <v>175</v>
      </c>
    </row>
    <row r="213" spans="1:21" x14ac:dyDescent="0.2">
      <c r="A213" s="28"/>
      <c r="B213" s="25" t="s">
        <v>913</v>
      </c>
      <c r="C213" s="25" t="s">
        <v>913</v>
      </c>
      <c r="D213" s="25" t="s">
        <v>909</v>
      </c>
      <c r="E213" s="25" t="s">
        <v>185</v>
      </c>
      <c r="F213" s="25" t="s">
        <v>911</v>
      </c>
      <c r="G213" s="25" t="s">
        <v>419</v>
      </c>
      <c r="H213" s="25" t="s">
        <v>915</v>
      </c>
      <c r="I213" s="27">
        <v>43623</v>
      </c>
      <c r="K213" s="27">
        <v>43654</v>
      </c>
      <c r="L213" s="26">
        <v>292898</v>
      </c>
      <c r="M213" s="25">
        <v>2000155353</v>
      </c>
      <c r="N213" s="25" t="s">
        <v>417</v>
      </c>
      <c r="O213" s="25" t="s">
        <v>271</v>
      </c>
      <c r="P213" s="26">
        <v>31</v>
      </c>
      <c r="Q213" s="25" t="s">
        <v>557</v>
      </c>
      <c r="R213" s="25" t="s">
        <v>417</v>
      </c>
      <c r="S213" s="25" t="s">
        <v>177</v>
      </c>
      <c r="T213" s="25" t="s">
        <v>176</v>
      </c>
      <c r="U213" s="25" t="s">
        <v>175</v>
      </c>
    </row>
    <row r="214" spans="1:21" x14ac:dyDescent="0.2">
      <c r="A214" s="28"/>
      <c r="B214" s="25" t="s">
        <v>913</v>
      </c>
      <c r="C214" s="25" t="s">
        <v>913</v>
      </c>
      <c r="D214" s="25" t="s">
        <v>909</v>
      </c>
      <c r="E214" s="25" t="s">
        <v>185</v>
      </c>
      <c r="F214" s="25" t="s">
        <v>911</v>
      </c>
      <c r="G214" s="25" t="s">
        <v>419</v>
      </c>
      <c r="H214" s="25" t="s">
        <v>783</v>
      </c>
      <c r="I214" s="27">
        <v>43623</v>
      </c>
      <c r="K214" s="27">
        <v>43654</v>
      </c>
      <c r="L214" s="26">
        <v>-292898</v>
      </c>
      <c r="M214" s="25">
        <v>2000155353</v>
      </c>
      <c r="N214" s="25" t="s">
        <v>417</v>
      </c>
      <c r="O214" s="25" t="s">
        <v>180</v>
      </c>
      <c r="P214" s="26">
        <v>31</v>
      </c>
      <c r="Q214" s="25" t="s">
        <v>557</v>
      </c>
      <c r="R214" s="25" t="s">
        <v>417</v>
      </c>
      <c r="S214" s="25" t="s">
        <v>177</v>
      </c>
      <c r="T214" s="25" t="s">
        <v>176</v>
      </c>
      <c r="U214" s="25" t="s">
        <v>175</v>
      </c>
    </row>
    <row r="215" spans="1:21" x14ac:dyDescent="0.2">
      <c r="A215" s="28"/>
      <c r="B215" s="25" t="s">
        <v>918</v>
      </c>
      <c r="C215" s="25">
        <v>13923561</v>
      </c>
      <c r="D215" s="25" t="s">
        <v>917</v>
      </c>
      <c r="E215" s="25" t="s">
        <v>185</v>
      </c>
      <c r="F215" s="25" t="s">
        <v>916</v>
      </c>
      <c r="G215" s="25" t="s">
        <v>183</v>
      </c>
      <c r="H215" s="25" t="s">
        <v>915</v>
      </c>
      <c r="I215" s="27">
        <v>43586</v>
      </c>
      <c r="K215" s="27">
        <v>43620</v>
      </c>
      <c r="L215" s="26">
        <v>-292898</v>
      </c>
      <c r="M215" s="25">
        <v>2000155353</v>
      </c>
      <c r="N215" s="25" t="s">
        <v>914</v>
      </c>
      <c r="O215" s="25" t="s">
        <v>180</v>
      </c>
      <c r="P215" s="26">
        <v>22</v>
      </c>
      <c r="Q215" s="25" t="s">
        <v>179</v>
      </c>
      <c r="R215" s="25" t="s">
        <v>572</v>
      </c>
      <c r="S215" s="25" t="s">
        <v>177</v>
      </c>
      <c r="T215" s="25" t="s">
        <v>176</v>
      </c>
      <c r="U215" s="25" t="s">
        <v>175</v>
      </c>
    </row>
    <row r="216" spans="1:21" x14ac:dyDescent="0.2">
      <c r="A216" s="28"/>
      <c r="B216" s="25" t="s">
        <v>913</v>
      </c>
      <c r="C216" s="25" t="s">
        <v>913</v>
      </c>
      <c r="D216" s="25" t="s">
        <v>781</v>
      </c>
      <c r="E216" s="25" t="s">
        <v>185</v>
      </c>
      <c r="F216" s="25" t="s">
        <v>912</v>
      </c>
      <c r="G216" s="25" t="s">
        <v>276</v>
      </c>
      <c r="H216" s="25" t="s">
        <v>783</v>
      </c>
      <c r="I216" s="27">
        <v>43623</v>
      </c>
      <c r="K216" s="27">
        <v>43623</v>
      </c>
      <c r="L216" s="26">
        <v>292898</v>
      </c>
      <c r="M216" s="25">
        <v>2000155353</v>
      </c>
      <c r="N216" s="25" t="s">
        <v>882</v>
      </c>
      <c r="O216" s="25" t="s">
        <v>271</v>
      </c>
      <c r="P216" s="26">
        <v>31</v>
      </c>
      <c r="Q216" s="25" t="s">
        <v>270</v>
      </c>
      <c r="R216" s="25" t="s">
        <v>910</v>
      </c>
      <c r="S216" s="25" t="s">
        <v>177</v>
      </c>
      <c r="T216" s="25" t="s">
        <v>176</v>
      </c>
      <c r="U216" s="25" t="s">
        <v>175</v>
      </c>
    </row>
    <row r="217" spans="1:21" x14ac:dyDescent="0.2">
      <c r="A217" s="28"/>
      <c r="B217" s="25" t="s">
        <v>934</v>
      </c>
      <c r="C217" s="25" t="s">
        <v>934</v>
      </c>
      <c r="D217" s="25" t="s">
        <v>933</v>
      </c>
      <c r="E217" s="25" t="s">
        <v>185</v>
      </c>
      <c r="F217" s="25" t="s">
        <v>919</v>
      </c>
      <c r="G217" s="25" t="s">
        <v>419</v>
      </c>
      <c r="H217" s="25" t="s">
        <v>927</v>
      </c>
      <c r="I217" s="27">
        <v>43623</v>
      </c>
      <c r="K217" s="27">
        <v>43642</v>
      </c>
      <c r="L217" s="26">
        <v>136695</v>
      </c>
      <c r="M217" s="25">
        <v>2000153801</v>
      </c>
      <c r="N217" s="25" t="s">
        <v>932</v>
      </c>
      <c r="O217" s="25" t="s">
        <v>271</v>
      </c>
      <c r="P217" s="26">
        <v>19</v>
      </c>
      <c r="Q217" s="25" t="s">
        <v>931</v>
      </c>
      <c r="R217" s="25" t="s">
        <v>930</v>
      </c>
      <c r="S217" s="25" t="s">
        <v>177</v>
      </c>
      <c r="T217" s="25" t="s">
        <v>176</v>
      </c>
      <c r="U217" s="25" t="s">
        <v>175</v>
      </c>
    </row>
    <row r="218" spans="1:21" x14ac:dyDescent="0.2">
      <c r="A218" s="28"/>
      <c r="B218" s="25" t="s">
        <v>934</v>
      </c>
      <c r="C218" s="25" t="s">
        <v>934</v>
      </c>
      <c r="D218" s="25" t="s">
        <v>933</v>
      </c>
      <c r="E218" s="25" t="s">
        <v>185</v>
      </c>
      <c r="F218" s="25" t="s">
        <v>919</v>
      </c>
      <c r="G218" s="25" t="s">
        <v>419</v>
      </c>
      <c r="H218" s="25" t="s">
        <v>694</v>
      </c>
      <c r="I218" s="27">
        <v>43623</v>
      </c>
      <c r="K218" s="27">
        <v>43642</v>
      </c>
      <c r="L218" s="26">
        <v>-136695</v>
      </c>
      <c r="M218" s="25">
        <v>2000153801</v>
      </c>
      <c r="N218" s="25" t="s">
        <v>932</v>
      </c>
      <c r="O218" s="25" t="s">
        <v>180</v>
      </c>
      <c r="P218" s="26">
        <v>19</v>
      </c>
      <c r="Q218" s="25" t="s">
        <v>931</v>
      </c>
      <c r="R218" s="25" t="s">
        <v>930</v>
      </c>
      <c r="S218" s="25" t="s">
        <v>177</v>
      </c>
      <c r="T218" s="25" t="s">
        <v>176</v>
      </c>
      <c r="U218" s="25" t="s">
        <v>175</v>
      </c>
    </row>
    <row r="219" spans="1:21" x14ac:dyDescent="0.2">
      <c r="A219" s="28"/>
      <c r="B219" s="25" t="s">
        <v>929</v>
      </c>
      <c r="C219" s="25">
        <v>13919412</v>
      </c>
      <c r="D219" s="25" t="s">
        <v>924</v>
      </c>
      <c r="E219" s="25" t="s">
        <v>185</v>
      </c>
      <c r="F219" s="25" t="s">
        <v>928</v>
      </c>
      <c r="G219" s="25" t="s">
        <v>183</v>
      </c>
      <c r="H219" s="25" t="s">
        <v>927</v>
      </c>
      <c r="I219" s="27">
        <v>43582</v>
      </c>
      <c r="K219" s="27">
        <v>43602</v>
      </c>
      <c r="L219" s="26">
        <v>-82295</v>
      </c>
      <c r="M219" s="25">
        <v>2000153801</v>
      </c>
      <c r="N219" s="25" t="s">
        <v>926</v>
      </c>
      <c r="O219" s="25" t="s">
        <v>180</v>
      </c>
      <c r="P219" s="26">
        <v>10</v>
      </c>
      <c r="Q219" s="25" t="s">
        <v>189</v>
      </c>
      <c r="R219" s="25" t="s">
        <v>720</v>
      </c>
      <c r="S219" s="25" t="s">
        <v>177</v>
      </c>
      <c r="T219" s="25" t="s">
        <v>176</v>
      </c>
      <c r="U219" s="25" t="s">
        <v>175</v>
      </c>
    </row>
    <row r="220" spans="1:21" x14ac:dyDescent="0.2">
      <c r="A220" s="28"/>
      <c r="B220" s="25" t="s">
        <v>925</v>
      </c>
      <c r="C220" s="25">
        <v>13919478</v>
      </c>
      <c r="D220" s="25" t="s">
        <v>924</v>
      </c>
      <c r="E220" s="25" t="s">
        <v>185</v>
      </c>
      <c r="F220" s="25" t="s">
        <v>923</v>
      </c>
      <c r="G220" s="25" t="s">
        <v>183</v>
      </c>
      <c r="H220" s="25" t="s">
        <v>711</v>
      </c>
      <c r="I220" s="27">
        <v>43583</v>
      </c>
      <c r="K220" s="27">
        <v>43602</v>
      </c>
      <c r="L220" s="26">
        <v>-54400</v>
      </c>
      <c r="M220" s="25">
        <v>2000153801</v>
      </c>
      <c r="N220" s="25" t="s">
        <v>922</v>
      </c>
      <c r="O220" s="25" t="s">
        <v>180</v>
      </c>
      <c r="P220" s="26">
        <v>10</v>
      </c>
      <c r="Q220" s="25" t="s">
        <v>189</v>
      </c>
      <c r="R220" s="25" t="s">
        <v>720</v>
      </c>
      <c r="S220" s="25" t="s">
        <v>177</v>
      </c>
      <c r="T220" s="25" t="s">
        <v>176</v>
      </c>
      <c r="U220" s="25" t="s">
        <v>175</v>
      </c>
    </row>
    <row r="221" spans="1:21" x14ac:dyDescent="0.2">
      <c r="A221" s="28"/>
      <c r="B221" s="25" t="s">
        <v>921</v>
      </c>
      <c r="C221" s="25" t="s">
        <v>921</v>
      </c>
      <c r="D221" s="25" t="s">
        <v>693</v>
      </c>
      <c r="E221" s="25" t="s">
        <v>185</v>
      </c>
      <c r="F221" s="25" t="s">
        <v>920</v>
      </c>
      <c r="G221" s="25" t="s">
        <v>276</v>
      </c>
      <c r="H221" s="25" t="s">
        <v>694</v>
      </c>
      <c r="I221" s="27">
        <v>43623</v>
      </c>
      <c r="K221" s="27">
        <v>43623</v>
      </c>
      <c r="L221" s="26">
        <v>136695</v>
      </c>
      <c r="M221" s="25">
        <v>2000153801</v>
      </c>
      <c r="N221" s="25" t="s">
        <v>882</v>
      </c>
      <c r="O221" s="25" t="s">
        <v>271</v>
      </c>
      <c r="P221" s="26">
        <v>19</v>
      </c>
      <c r="Q221" s="25" t="s">
        <v>270</v>
      </c>
      <c r="R221" s="25" t="s">
        <v>703</v>
      </c>
      <c r="S221" s="25" t="s">
        <v>177</v>
      </c>
      <c r="T221" s="25" t="s">
        <v>176</v>
      </c>
      <c r="U221" s="25" t="s">
        <v>175</v>
      </c>
    </row>
    <row r="222" spans="1:21" x14ac:dyDescent="0.2">
      <c r="A222" s="28"/>
      <c r="B222" s="25" t="s">
        <v>940</v>
      </c>
      <c r="C222" s="25" t="s">
        <v>940</v>
      </c>
      <c r="D222" s="25" t="s">
        <v>948</v>
      </c>
      <c r="E222" s="25" t="s">
        <v>185</v>
      </c>
      <c r="F222" s="25" t="s">
        <v>936</v>
      </c>
      <c r="G222" s="25" t="s">
        <v>419</v>
      </c>
      <c r="H222" s="25" t="s">
        <v>449</v>
      </c>
      <c r="I222" s="27">
        <v>43623</v>
      </c>
      <c r="K222" s="27">
        <v>43641</v>
      </c>
      <c r="L222" s="26">
        <v>577912</v>
      </c>
      <c r="M222" s="25">
        <v>2000153647</v>
      </c>
      <c r="N222" s="25" t="s">
        <v>417</v>
      </c>
      <c r="O222" s="25" t="s">
        <v>271</v>
      </c>
      <c r="P222" s="26">
        <v>18</v>
      </c>
      <c r="Q222" s="25" t="s">
        <v>557</v>
      </c>
      <c r="R222" s="25" t="s">
        <v>417</v>
      </c>
      <c r="S222" s="25" t="s">
        <v>177</v>
      </c>
      <c r="T222" s="25" t="s">
        <v>176</v>
      </c>
      <c r="U222" s="25" t="s">
        <v>175</v>
      </c>
    </row>
    <row r="223" spans="1:21" x14ac:dyDescent="0.2">
      <c r="A223" s="28"/>
      <c r="B223" s="25" t="s">
        <v>940</v>
      </c>
      <c r="C223" s="25" t="s">
        <v>940</v>
      </c>
      <c r="D223" s="25" t="s">
        <v>948</v>
      </c>
      <c r="E223" s="25" t="s">
        <v>185</v>
      </c>
      <c r="F223" s="25" t="s">
        <v>936</v>
      </c>
      <c r="G223" s="25" t="s">
        <v>419</v>
      </c>
      <c r="H223" s="25" t="s">
        <v>937</v>
      </c>
      <c r="I223" s="27">
        <v>43623</v>
      </c>
      <c r="K223" s="27">
        <v>43641</v>
      </c>
      <c r="L223" s="26">
        <v>-577912</v>
      </c>
      <c r="M223" s="25">
        <v>2000153647</v>
      </c>
      <c r="N223" s="25" t="s">
        <v>417</v>
      </c>
      <c r="O223" s="25" t="s">
        <v>180</v>
      </c>
      <c r="P223" s="26">
        <v>18</v>
      </c>
      <c r="Q223" s="25" t="s">
        <v>557</v>
      </c>
      <c r="R223" s="25" t="s">
        <v>417</v>
      </c>
      <c r="S223" s="25" t="s">
        <v>177</v>
      </c>
      <c r="T223" s="25" t="s">
        <v>176</v>
      </c>
      <c r="U223" s="25" t="s">
        <v>175</v>
      </c>
    </row>
    <row r="224" spans="1:21" x14ac:dyDescent="0.2">
      <c r="A224" s="28"/>
      <c r="B224" s="25" t="s">
        <v>947</v>
      </c>
      <c r="C224" s="25">
        <v>13906881</v>
      </c>
      <c r="D224" s="25" t="s">
        <v>943</v>
      </c>
      <c r="E224" s="25" t="s">
        <v>185</v>
      </c>
      <c r="F224" s="25" t="s">
        <v>946</v>
      </c>
      <c r="G224" s="25" t="s">
        <v>183</v>
      </c>
      <c r="H224" s="25" t="s">
        <v>449</v>
      </c>
      <c r="I224" s="27">
        <v>43570</v>
      </c>
      <c r="K224" s="27">
        <v>43602</v>
      </c>
      <c r="L224" s="26">
        <v>-123480</v>
      </c>
      <c r="M224" s="25">
        <v>2000153647</v>
      </c>
      <c r="N224" s="25" t="s">
        <v>945</v>
      </c>
      <c r="O224" s="25" t="s">
        <v>180</v>
      </c>
      <c r="P224" s="26">
        <v>9</v>
      </c>
      <c r="Q224" s="25" t="s">
        <v>189</v>
      </c>
      <c r="R224" s="25" t="s">
        <v>447</v>
      </c>
      <c r="S224" s="25" t="s">
        <v>177</v>
      </c>
      <c r="T224" s="25" t="s">
        <v>176</v>
      </c>
      <c r="U224" s="25" t="s">
        <v>175</v>
      </c>
    </row>
    <row r="225" spans="1:21" x14ac:dyDescent="0.2">
      <c r="A225" s="28"/>
      <c r="B225" s="25" t="s">
        <v>944</v>
      </c>
      <c r="C225" s="25">
        <v>13912343</v>
      </c>
      <c r="D225" s="25" t="s">
        <v>943</v>
      </c>
      <c r="E225" s="25" t="s">
        <v>185</v>
      </c>
      <c r="F225" s="25" t="s">
        <v>942</v>
      </c>
      <c r="G225" s="25" t="s">
        <v>183</v>
      </c>
      <c r="H225" s="25" t="s">
        <v>449</v>
      </c>
      <c r="I225" s="27">
        <v>43581</v>
      </c>
      <c r="K225" s="27">
        <v>43602</v>
      </c>
      <c r="L225" s="26">
        <v>-454432</v>
      </c>
      <c r="M225" s="25">
        <v>2000153647</v>
      </c>
      <c r="N225" s="25" t="s">
        <v>941</v>
      </c>
      <c r="O225" s="25" t="s">
        <v>180</v>
      </c>
      <c r="P225" s="26">
        <v>9</v>
      </c>
      <c r="Q225" s="25" t="s">
        <v>189</v>
      </c>
      <c r="R225" s="25" t="s">
        <v>447</v>
      </c>
      <c r="S225" s="25" t="s">
        <v>177</v>
      </c>
      <c r="T225" s="25" t="s">
        <v>176</v>
      </c>
      <c r="U225" s="25" t="s">
        <v>175</v>
      </c>
    </row>
    <row r="226" spans="1:21" x14ac:dyDescent="0.2">
      <c r="A226" s="28"/>
      <c r="B226" s="25" t="s">
        <v>940</v>
      </c>
      <c r="C226" s="25" t="s">
        <v>940</v>
      </c>
      <c r="D226" s="25" t="s">
        <v>939</v>
      </c>
      <c r="E226" s="25" t="s">
        <v>185</v>
      </c>
      <c r="F226" s="25" t="s">
        <v>938</v>
      </c>
      <c r="G226" s="25" t="s">
        <v>276</v>
      </c>
      <c r="H226" s="25" t="s">
        <v>937</v>
      </c>
      <c r="I226" s="27">
        <v>43623</v>
      </c>
      <c r="K226" s="27">
        <v>43623</v>
      </c>
      <c r="L226" s="26">
        <v>577912</v>
      </c>
      <c r="M226" s="25">
        <v>2000153647</v>
      </c>
      <c r="N226" s="25" t="s">
        <v>882</v>
      </c>
      <c r="O226" s="25" t="s">
        <v>271</v>
      </c>
      <c r="P226" s="26">
        <v>18</v>
      </c>
      <c r="Q226" s="25" t="s">
        <v>270</v>
      </c>
      <c r="R226" s="25" t="s">
        <v>935</v>
      </c>
      <c r="S226" s="25" t="s">
        <v>177</v>
      </c>
      <c r="T226" s="25" t="s">
        <v>176</v>
      </c>
      <c r="U226" s="25" t="s">
        <v>175</v>
      </c>
    </row>
    <row r="227" spans="1:21" x14ac:dyDescent="0.2">
      <c r="A227" s="28"/>
      <c r="B227" s="25" t="s">
        <v>417</v>
      </c>
      <c r="C227" s="25" t="s">
        <v>417</v>
      </c>
      <c r="D227" s="25" t="s">
        <v>963</v>
      </c>
      <c r="E227" s="25" t="s">
        <v>185</v>
      </c>
      <c r="F227" s="25" t="s">
        <v>950</v>
      </c>
      <c r="G227" s="25" t="s">
        <v>419</v>
      </c>
      <c r="H227" s="25" t="s">
        <v>246</v>
      </c>
      <c r="I227" s="27">
        <v>43636</v>
      </c>
      <c r="K227" s="27">
        <v>43636</v>
      </c>
      <c r="L227" s="26">
        <v>333561</v>
      </c>
      <c r="M227" s="25">
        <v>2000153430</v>
      </c>
      <c r="N227" s="25" t="s">
        <v>962</v>
      </c>
      <c r="O227" s="25" t="s">
        <v>271</v>
      </c>
      <c r="P227" s="26">
        <v>0</v>
      </c>
      <c r="Q227" s="25" t="s">
        <v>961</v>
      </c>
      <c r="R227" s="25" t="s">
        <v>960</v>
      </c>
      <c r="S227" s="25" t="s">
        <v>177</v>
      </c>
      <c r="T227" s="25" t="s">
        <v>176</v>
      </c>
      <c r="U227" s="25" t="s">
        <v>175</v>
      </c>
    </row>
    <row r="228" spans="1:21" x14ac:dyDescent="0.2">
      <c r="A228" s="28"/>
      <c r="B228" s="25" t="s">
        <v>417</v>
      </c>
      <c r="C228" s="25" t="s">
        <v>417</v>
      </c>
      <c r="D228" s="25" t="s">
        <v>963</v>
      </c>
      <c r="E228" s="25" t="s">
        <v>185</v>
      </c>
      <c r="F228" s="25" t="s">
        <v>950</v>
      </c>
      <c r="G228" s="25" t="s">
        <v>419</v>
      </c>
      <c r="H228" s="25" t="s">
        <v>652</v>
      </c>
      <c r="I228" s="27">
        <v>43636</v>
      </c>
      <c r="K228" s="27">
        <v>43636</v>
      </c>
      <c r="L228" s="26">
        <v>-333561</v>
      </c>
      <c r="M228" s="25">
        <v>2000153430</v>
      </c>
      <c r="N228" s="25" t="s">
        <v>962</v>
      </c>
      <c r="O228" s="25" t="s">
        <v>180</v>
      </c>
      <c r="P228" s="26">
        <v>0</v>
      </c>
      <c r="Q228" s="25" t="s">
        <v>961</v>
      </c>
      <c r="R228" s="25" t="s">
        <v>960</v>
      </c>
      <c r="S228" s="25" t="s">
        <v>177</v>
      </c>
      <c r="T228" s="25" t="s">
        <v>176</v>
      </c>
      <c r="U228" s="25" t="s">
        <v>175</v>
      </c>
    </row>
    <row r="229" spans="1:21" x14ac:dyDescent="0.2">
      <c r="A229" s="28"/>
      <c r="B229" s="25" t="s">
        <v>959</v>
      </c>
      <c r="C229" s="25">
        <v>13894928</v>
      </c>
      <c r="D229" s="25" t="s">
        <v>955</v>
      </c>
      <c r="E229" s="25" t="s">
        <v>185</v>
      </c>
      <c r="F229" s="25" t="s">
        <v>958</v>
      </c>
      <c r="G229" s="25" t="s">
        <v>183</v>
      </c>
      <c r="H229" s="25" t="s">
        <v>246</v>
      </c>
      <c r="I229" s="27">
        <v>43559</v>
      </c>
      <c r="K229" s="27">
        <v>43602</v>
      </c>
      <c r="L229" s="26">
        <v>-243253</v>
      </c>
      <c r="M229" s="25">
        <v>2000153430</v>
      </c>
      <c r="N229" s="25" t="s">
        <v>957</v>
      </c>
      <c r="O229" s="25" t="s">
        <v>180</v>
      </c>
      <c r="P229" s="26">
        <v>4</v>
      </c>
      <c r="Q229" s="25" t="s">
        <v>189</v>
      </c>
      <c r="R229" s="25" t="s">
        <v>244</v>
      </c>
      <c r="S229" s="25" t="s">
        <v>177</v>
      </c>
      <c r="T229" s="25" t="s">
        <v>176</v>
      </c>
      <c r="U229" s="25" t="s">
        <v>175</v>
      </c>
    </row>
    <row r="230" spans="1:21" x14ac:dyDescent="0.2">
      <c r="A230" s="28"/>
      <c r="B230" s="25" t="s">
        <v>956</v>
      </c>
      <c r="C230" s="25">
        <v>13899291</v>
      </c>
      <c r="D230" s="25" t="s">
        <v>955</v>
      </c>
      <c r="E230" s="25" t="s">
        <v>185</v>
      </c>
      <c r="F230" s="25" t="s">
        <v>954</v>
      </c>
      <c r="G230" s="25" t="s">
        <v>183</v>
      </c>
      <c r="H230" s="25" t="s">
        <v>246</v>
      </c>
      <c r="I230" s="27">
        <v>43564</v>
      </c>
      <c r="K230" s="27">
        <v>43602</v>
      </c>
      <c r="L230" s="26">
        <v>-90308</v>
      </c>
      <c r="M230" s="25">
        <v>2000153430</v>
      </c>
      <c r="N230" s="25" t="s">
        <v>953</v>
      </c>
      <c r="O230" s="25" t="s">
        <v>180</v>
      </c>
      <c r="P230" s="26">
        <v>4</v>
      </c>
      <c r="Q230" s="25" t="s">
        <v>189</v>
      </c>
      <c r="R230" s="25" t="s">
        <v>244</v>
      </c>
      <c r="S230" s="25" t="s">
        <v>177</v>
      </c>
      <c r="T230" s="25" t="s">
        <v>176</v>
      </c>
      <c r="U230" s="25" t="s">
        <v>175</v>
      </c>
    </row>
    <row r="231" spans="1:21" x14ac:dyDescent="0.2">
      <c r="A231" s="28"/>
      <c r="B231" s="25" t="s">
        <v>952</v>
      </c>
      <c r="C231" s="25" t="s">
        <v>952</v>
      </c>
      <c r="D231" s="25" t="s">
        <v>650</v>
      </c>
      <c r="E231" s="25" t="s">
        <v>185</v>
      </c>
      <c r="F231" s="25" t="s">
        <v>951</v>
      </c>
      <c r="G231" s="25" t="s">
        <v>276</v>
      </c>
      <c r="H231" s="25" t="s">
        <v>652</v>
      </c>
      <c r="I231" s="27">
        <v>43623</v>
      </c>
      <c r="K231" s="27">
        <v>43623</v>
      </c>
      <c r="L231" s="26">
        <v>333561</v>
      </c>
      <c r="M231" s="25">
        <v>2000153430</v>
      </c>
      <c r="N231" s="25" t="s">
        <v>882</v>
      </c>
      <c r="O231" s="25" t="s">
        <v>271</v>
      </c>
      <c r="P231" s="26">
        <v>13</v>
      </c>
      <c r="Q231" s="25" t="s">
        <v>270</v>
      </c>
      <c r="R231" s="25" t="s">
        <v>949</v>
      </c>
      <c r="S231" s="25" t="s">
        <v>177</v>
      </c>
      <c r="T231" s="25" t="s">
        <v>176</v>
      </c>
      <c r="U231" s="25" t="s">
        <v>175</v>
      </c>
    </row>
    <row r="232" spans="1:21" x14ac:dyDescent="0.2">
      <c r="A232" s="28"/>
      <c r="B232" s="25" t="s">
        <v>972</v>
      </c>
      <c r="C232" s="25" t="s">
        <v>972</v>
      </c>
      <c r="D232" s="25" t="s">
        <v>963</v>
      </c>
      <c r="E232" s="25" t="s">
        <v>185</v>
      </c>
      <c r="F232" s="25" t="s">
        <v>965</v>
      </c>
      <c r="G232" s="25" t="s">
        <v>419</v>
      </c>
      <c r="H232" s="25" t="s">
        <v>530</v>
      </c>
      <c r="I232" s="27">
        <v>43636</v>
      </c>
      <c r="K232" s="27">
        <v>43636</v>
      </c>
      <c r="L232" s="26">
        <v>124399</v>
      </c>
      <c r="M232" s="25">
        <v>2000153343</v>
      </c>
      <c r="N232" s="25" t="s">
        <v>971</v>
      </c>
      <c r="O232" s="25" t="s">
        <v>271</v>
      </c>
      <c r="P232" s="26">
        <v>0</v>
      </c>
      <c r="Q232" s="25" t="s">
        <v>535</v>
      </c>
      <c r="R232" s="25" t="s">
        <v>971</v>
      </c>
      <c r="S232" s="25" t="s">
        <v>177</v>
      </c>
      <c r="T232" s="25" t="s">
        <v>176</v>
      </c>
      <c r="U232" s="25" t="s">
        <v>175</v>
      </c>
    </row>
    <row r="233" spans="1:21" x14ac:dyDescent="0.2">
      <c r="A233" s="28"/>
      <c r="B233" s="25" t="s">
        <v>972</v>
      </c>
      <c r="C233" s="25" t="s">
        <v>972</v>
      </c>
      <c r="D233" s="25" t="s">
        <v>963</v>
      </c>
      <c r="E233" s="25" t="s">
        <v>185</v>
      </c>
      <c r="F233" s="25" t="s">
        <v>965</v>
      </c>
      <c r="G233" s="25" t="s">
        <v>419</v>
      </c>
      <c r="H233" s="25" t="s">
        <v>818</v>
      </c>
      <c r="I233" s="27">
        <v>43636</v>
      </c>
      <c r="K233" s="27">
        <v>43636</v>
      </c>
      <c r="L233" s="26">
        <v>-124399</v>
      </c>
      <c r="M233" s="25">
        <v>2000153343</v>
      </c>
      <c r="N233" s="25" t="s">
        <v>971</v>
      </c>
      <c r="O233" s="25" t="s">
        <v>180</v>
      </c>
      <c r="P233" s="26">
        <v>0</v>
      </c>
      <c r="Q233" s="25" t="s">
        <v>535</v>
      </c>
      <c r="R233" s="25" t="s">
        <v>971</v>
      </c>
      <c r="S233" s="25" t="s">
        <v>177</v>
      </c>
      <c r="T233" s="25" t="s">
        <v>176</v>
      </c>
      <c r="U233" s="25" t="s">
        <v>175</v>
      </c>
    </row>
    <row r="234" spans="1:21" x14ac:dyDescent="0.2">
      <c r="A234" s="28"/>
      <c r="B234" s="25" t="s">
        <v>970</v>
      </c>
      <c r="C234" s="25">
        <v>13890779</v>
      </c>
      <c r="D234" s="25" t="s">
        <v>969</v>
      </c>
      <c r="E234" s="25" t="s">
        <v>185</v>
      </c>
      <c r="F234" s="25" t="s">
        <v>968</v>
      </c>
      <c r="G234" s="25" t="s">
        <v>183</v>
      </c>
      <c r="H234" s="25" t="s">
        <v>530</v>
      </c>
      <c r="I234" s="27">
        <v>43586</v>
      </c>
      <c r="K234" s="27">
        <v>43634</v>
      </c>
      <c r="L234" s="26">
        <v>-124399</v>
      </c>
      <c r="M234" s="25">
        <v>2000153343</v>
      </c>
      <c r="N234" s="25" t="s">
        <v>822</v>
      </c>
      <c r="O234" s="25" t="s">
        <v>180</v>
      </c>
      <c r="P234" s="26">
        <v>4</v>
      </c>
      <c r="Q234" s="25" t="s">
        <v>535</v>
      </c>
      <c r="R234" s="25" t="s">
        <v>821</v>
      </c>
      <c r="S234" s="25" t="s">
        <v>177</v>
      </c>
      <c r="T234" s="25" t="s">
        <v>176</v>
      </c>
      <c r="U234" s="25" t="s">
        <v>175</v>
      </c>
    </row>
    <row r="235" spans="1:21" x14ac:dyDescent="0.2">
      <c r="A235" s="28"/>
      <c r="B235" s="25" t="s">
        <v>967</v>
      </c>
      <c r="C235" s="25" t="s">
        <v>967</v>
      </c>
      <c r="D235" s="25" t="s">
        <v>816</v>
      </c>
      <c r="E235" s="25" t="s">
        <v>185</v>
      </c>
      <c r="F235" s="25" t="s">
        <v>966</v>
      </c>
      <c r="G235" s="25" t="s">
        <v>276</v>
      </c>
      <c r="H235" s="25" t="s">
        <v>818</v>
      </c>
      <c r="I235" s="27">
        <v>43623</v>
      </c>
      <c r="K235" s="27">
        <v>43623</v>
      </c>
      <c r="L235" s="26">
        <v>124399</v>
      </c>
      <c r="M235" s="25">
        <v>2000153343</v>
      </c>
      <c r="N235" s="25" t="s">
        <v>882</v>
      </c>
      <c r="O235" s="25" t="s">
        <v>271</v>
      </c>
      <c r="P235" s="26">
        <v>13</v>
      </c>
      <c r="Q235" s="25" t="s">
        <v>270</v>
      </c>
      <c r="R235" s="25" t="s">
        <v>964</v>
      </c>
      <c r="S235" s="25" t="s">
        <v>177</v>
      </c>
      <c r="T235" s="25" t="s">
        <v>176</v>
      </c>
      <c r="U235" s="25" t="s">
        <v>175</v>
      </c>
    </row>
    <row r="236" spans="1:21" x14ac:dyDescent="0.2">
      <c r="A236" s="28"/>
      <c r="B236" s="25" t="s">
        <v>982</v>
      </c>
      <c r="C236" s="25" t="s">
        <v>982</v>
      </c>
      <c r="D236" s="25" t="s">
        <v>981</v>
      </c>
      <c r="E236" s="25" t="s">
        <v>185</v>
      </c>
      <c r="F236" s="25" t="s">
        <v>973</v>
      </c>
      <c r="G236" s="25" t="s">
        <v>419</v>
      </c>
      <c r="H236" s="25" t="s">
        <v>443</v>
      </c>
      <c r="I236" s="27">
        <v>43623</v>
      </c>
      <c r="K236" s="27">
        <v>43623</v>
      </c>
      <c r="L236" s="26">
        <v>54400</v>
      </c>
      <c r="M236" s="25">
        <v>2000152004</v>
      </c>
      <c r="N236" s="25" t="s">
        <v>980</v>
      </c>
      <c r="O236" s="25" t="s">
        <v>271</v>
      </c>
      <c r="P236" s="26">
        <v>0</v>
      </c>
      <c r="Q236" s="25" t="s">
        <v>841</v>
      </c>
      <c r="R236" s="25" t="s">
        <v>980</v>
      </c>
      <c r="S236" s="25" t="s">
        <v>177</v>
      </c>
      <c r="T236" s="25" t="s">
        <v>176</v>
      </c>
      <c r="U236" s="25" t="s">
        <v>175</v>
      </c>
    </row>
    <row r="237" spans="1:21" x14ac:dyDescent="0.2">
      <c r="A237" s="28"/>
      <c r="B237" s="25" t="s">
        <v>982</v>
      </c>
      <c r="C237" s="25" t="s">
        <v>982</v>
      </c>
      <c r="D237" s="25" t="s">
        <v>981</v>
      </c>
      <c r="E237" s="25" t="s">
        <v>185</v>
      </c>
      <c r="F237" s="25" t="s">
        <v>973</v>
      </c>
      <c r="G237" s="25" t="s">
        <v>419</v>
      </c>
      <c r="H237" s="25" t="s">
        <v>275</v>
      </c>
      <c r="I237" s="27">
        <v>43623</v>
      </c>
      <c r="K237" s="27">
        <v>43623</v>
      </c>
      <c r="L237" s="26">
        <v>-54400</v>
      </c>
      <c r="M237" s="25">
        <v>2000152004</v>
      </c>
      <c r="N237" s="25" t="s">
        <v>980</v>
      </c>
      <c r="O237" s="25" t="s">
        <v>180</v>
      </c>
      <c r="P237" s="26">
        <v>0</v>
      </c>
      <c r="Q237" s="25" t="s">
        <v>841</v>
      </c>
      <c r="R237" s="25" t="s">
        <v>980</v>
      </c>
      <c r="S237" s="25" t="s">
        <v>177</v>
      </c>
      <c r="T237" s="25" t="s">
        <v>176</v>
      </c>
      <c r="U237" s="25" t="s">
        <v>175</v>
      </c>
    </row>
    <row r="238" spans="1:21" x14ac:dyDescent="0.2">
      <c r="A238" s="28"/>
      <c r="B238" s="25" t="s">
        <v>979</v>
      </c>
      <c r="C238" s="25">
        <v>13898364</v>
      </c>
      <c r="D238" s="25" t="s">
        <v>978</v>
      </c>
      <c r="E238" s="25" t="s">
        <v>185</v>
      </c>
      <c r="F238" s="25" t="s">
        <v>977</v>
      </c>
      <c r="G238" s="25" t="s">
        <v>183</v>
      </c>
      <c r="H238" s="25" t="s">
        <v>443</v>
      </c>
      <c r="I238" s="27">
        <v>43571</v>
      </c>
      <c r="K238" s="27">
        <v>43602</v>
      </c>
      <c r="L238" s="26">
        <v>-54400</v>
      </c>
      <c r="M238" s="25">
        <v>2000152004</v>
      </c>
      <c r="N238" s="25" t="s">
        <v>976</v>
      </c>
      <c r="O238" s="25" t="s">
        <v>180</v>
      </c>
      <c r="P238" s="26">
        <v>-9</v>
      </c>
      <c r="Q238" s="25" t="s">
        <v>841</v>
      </c>
      <c r="R238" s="25" t="s">
        <v>591</v>
      </c>
      <c r="S238" s="25" t="s">
        <v>177</v>
      </c>
      <c r="T238" s="25" t="s">
        <v>176</v>
      </c>
      <c r="U238" s="25" t="s">
        <v>175</v>
      </c>
    </row>
    <row r="239" spans="1:21" x14ac:dyDescent="0.2">
      <c r="A239" s="28"/>
      <c r="B239" s="25" t="s">
        <v>975</v>
      </c>
      <c r="C239" s="25" t="s">
        <v>975</v>
      </c>
      <c r="D239" s="25" t="s">
        <v>279</v>
      </c>
      <c r="E239" s="25" t="s">
        <v>185</v>
      </c>
      <c r="F239" s="25" t="s">
        <v>974</v>
      </c>
      <c r="G239" s="25" t="s">
        <v>276</v>
      </c>
      <c r="H239" s="25" t="s">
        <v>275</v>
      </c>
      <c r="I239" s="27">
        <v>43623</v>
      </c>
      <c r="K239" s="27">
        <v>43623</v>
      </c>
      <c r="L239" s="26">
        <v>54400</v>
      </c>
      <c r="M239" s="25">
        <v>2000152004</v>
      </c>
      <c r="N239" s="25" t="s">
        <v>882</v>
      </c>
      <c r="O239" s="25" t="s">
        <v>271</v>
      </c>
      <c r="P239" s="26">
        <v>0</v>
      </c>
      <c r="Q239" s="25" t="s">
        <v>270</v>
      </c>
      <c r="R239" s="25" t="s">
        <v>269</v>
      </c>
      <c r="S239" s="25" t="s">
        <v>177</v>
      </c>
      <c r="T239" s="25" t="s">
        <v>176</v>
      </c>
      <c r="U239" s="25" t="s">
        <v>175</v>
      </c>
    </row>
    <row r="240" spans="1:21" x14ac:dyDescent="0.2">
      <c r="A240" s="28"/>
      <c r="B240" s="25" t="s">
        <v>1007</v>
      </c>
      <c r="C240" s="25">
        <v>13678503</v>
      </c>
      <c r="D240" s="25" t="s">
        <v>1006</v>
      </c>
      <c r="E240" s="25" t="s">
        <v>185</v>
      </c>
      <c r="F240" s="25" t="s">
        <v>1005</v>
      </c>
      <c r="G240" s="25" t="s">
        <v>553</v>
      </c>
      <c r="H240" s="25" t="s">
        <v>530</v>
      </c>
      <c r="I240" s="27">
        <v>43593</v>
      </c>
      <c r="K240" s="27">
        <v>43623</v>
      </c>
      <c r="L240" s="26">
        <v>-114307</v>
      </c>
      <c r="M240" s="25">
        <v>2000139567</v>
      </c>
      <c r="N240" s="25" t="s">
        <v>1004</v>
      </c>
      <c r="O240" s="25" t="s">
        <v>180</v>
      </c>
      <c r="P240" s="26">
        <v>215</v>
      </c>
      <c r="Q240" s="25" t="s">
        <v>557</v>
      </c>
      <c r="R240" s="25" t="s">
        <v>1003</v>
      </c>
      <c r="S240" s="25" t="s">
        <v>177</v>
      </c>
      <c r="T240" s="25" t="s">
        <v>176</v>
      </c>
      <c r="U240" s="25" t="s">
        <v>175</v>
      </c>
    </row>
    <row r="241" spans="1:21" x14ac:dyDescent="0.2">
      <c r="A241" s="28"/>
      <c r="B241" s="25" t="s">
        <v>986</v>
      </c>
      <c r="C241" s="25" t="s">
        <v>986</v>
      </c>
      <c r="D241" s="25" t="s">
        <v>981</v>
      </c>
      <c r="E241" s="25" t="s">
        <v>351</v>
      </c>
      <c r="F241" s="25" t="s">
        <v>984</v>
      </c>
      <c r="G241" s="25" t="s">
        <v>419</v>
      </c>
      <c r="H241" s="25" t="s">
        <v>656</v>
      </c>
      <c r="I241" s="27">
        <v>43593</v>
      </c>
      <c r="K241" s="27">
        <v>43623</v>
      </c>
      <c r="L241" s="26">
        <v>166500</v>
      </c>
      <c r="M241" s="25">
        <v>2000139567</v>
      </c>
      <c r="N241" s="25" t="s">
        <v>417</v>
      </c>
      <c r="O241" s="25" t="s">
        <v>271</v>
      </c>
      <c r="P241" s="26">
        <v>30</v>
      </c>
      <c r="Q241" s="25" t="s">
        <v>557</v>
      </c>
      <c r="R241" s="25" t="s">
        <v>417</v>
      </c>
      <c r="S241" s="25" t="s">
        <v>177</v>
      </c>
      <c r="T241" s="25" t="s">
        <v>176</v>
      </c>
      <c r="U241" s="25" t="s">
        <v>175</v>
      </c>
    </row>
    <row r="242" spans="1:21" x14ac:dyDescent="0.2">
      <c r="A242" s="28"/>
      <c r="B242" s="25" t="s">
        <v>986</v>
      </c>
      <c r="C242" s="25" t="s">
        <v>986</v>
      </c>
      <c r="D242" s="25" t="s">
        <v>981</v>
      </c>
      <c r="E242" s="25" t="s">
        <v>185</v>
      </c>
      <c r="F242" s="25" t="s">
        <v>984</v>
      </c>
      <c r="G242" s="25" t="s">
        <v>419</v>
      </c>
      <c r="H242" s="25" t="s">
        <v>240</v>
      </c>
      <c r="I242" s="27">
        <v>43593</v>
      </c>
      <c r="K242" s="27">
        <v>43623</v>
      </c>
      <c r="L242" s="26">
        <v>-442198</v>
      </c>
      <c r="M242" s="25">
        <v>2000139567</v>
      </c>
      <c r="N242" s="25" t="s">
        <v>417</v>
      </c>
      <c r="O242" s="25" t="s">
        <v>180</v>
      </c>
      <c r="P242" s="26">
        <v>30</v>
      </c>
      <c r="Q242" s="25" t="s">
        <v>557</v>
      </c>
      <c r="R242" s="25" t="s">
        <v>417</v>
      </c>
      <c r="S242" s="25" t="s">
        <v>177</v>
      </c>
      <c r="T242" s="25" t="s">
        <v>176</v>
      </c>
      <c r="U242" s="25" t="s">
        <v>175</v>
      </c>
    </row>
    <row r="243" spans="1:21" x14ac:dyDescent="0.2">
      <c r="A243" s="28"/>
      <c r="B243" s="25" t="s">
        <v>417</v>
      </c>
      <c r="C243" s="25" t="s">
        <v>417</v>
      </c>
      <c r="D243" s="25" t="s">
        <v>1002</v>
      </c>
      <c r="E243" s="25" t="s">
        <v>185</v>
      </c>
      <c r="F243" s="25" t="s">
        <v>1001</v>
      </c>
      <c r="G243" s="25" t="s">
        <v>419</v>
      </c>
      <c r="H243" s="25" t="s">
        <v>246</v>
      </c>
      <c r="I243" s="27">
        <v>43585</v>
      </c>
      <c r="K243" s="27">
        <v>43585</v>
      </c>
      <c r="L243" s="26">
        <v>-610119</v>
      </c>
      <c r="M243" s="25">
        <v>2000139567</v>
      </c>
      <c r="N243" s="25" t="s">
        <v>1000</v>
      </c>
      <c r="O243" s="25" t="s">
        <v>180</v>
      </c>
      <c r="P243" s="26">
        <v>91</v>
      </c>
      <c r="Q243" s="25" t="s">
        <v>961</v>
      </c>
      <c r="R243" s="25" t="s">
        <v>999</v>
      </c>
      <c r="S243" s="25" t="s">
        <v>177</v>
      </c>
      <c r="T243" s="25" t="s">
        <v>176</v>
      </c>
      <c r="U243" s="25" t="s">
        <v>175</v>
      </c>
    </row>
    <row r="244" spans="1:21" x14ac:dyDescent="0.2">
      <c r="A244" s="28"/>
      <c r="B244" s="25" t="s">
        <v>998</v>
      </c>
      <c r="C244" s="25">
        <v>13826406</v>
      </c>
      <c r="D244" s="25" t="s">
        <v>997</v>
      </c>
      <c r="E244" s="25" t="s">
        <v>185</v>
      </c>
      <c r="F244" s="25" t="s">
        <v>996</v>
      </c>
      <c r="G244" s="25" t="s">
        <v>183</v>
      </c>
      <c r="H244" s="25" t="s">
        <v>995</v>
      </c>
      <c r="I244" s="27">
        <v>43493</v>
      </c>
      <c r="K244" s="27">
        <v>43569</v>
      </c>
      <c r="L244" s="26">
        <v>-54400</v>
      </c>
      <c r="M244" s="25">
        <v>2000139567</v>
      </c>
      <c r="N244" s="25" t="s">
        <v>994</v>
      </c>
      <c r="O244" s="25" t="s">
        <v>180</v>
      </c>
      <c r="P244" s="26">
        <v>83</v>
      </c>
      <c r="Q244" s="25" t="s">
        <v>189</v>
      </c>
      <c r="R244" s="25" t="s">
        <v>453</v>
      </c>
      <c r="S244" s="25" t="s">
        <v>177</v>
      </c>
      <c r="T244" s="25" t="s">
        <v>176</v>
      </c>
      <c r="U244" s="25" t="s">
        <v>175</v>
      </c>
    </row>
    <row r="245" spans="1:21" x14ac:dyDescent="0.2">
      <c r="A245" s="28"/>
      <c r="B245" s="25" t="s">
        <v>993</v>
      </c>
      <c r="C245" s="25">
        <v>13864666</v>
      </c>
      <c r="D245" s="25" t="s">
        <v>992</v>
      </c>
      <c r="E245" s="25" t="s">
        <v>351</v>
      </c>
      <c r="F245" s="25" t="s">
        <v>991</v>
      </c>
      <c r="G245" s="25" t="s">
        <v>183</v>
      </c>
      <c r="H245" s="25" t="s">
        <v>656</v>
      </c>
      <c r="I245" s="27">
        <v>43542</v>
      </c>
      <c r="K245" s="27">
        <v>43613</v>
      </c>
      <c r="L245" s="26">
        <v>-166500</v>
      </c>
      <c r="M245" s="25">
        <v>2000139567</v>
      </c>
      <c r="N245" s="25" t="s">
        <v>990</v>
      </c>
      <c r="O245" s="25" t="s">
        <v>180</v>
      </c>
      <c r="P245" s="26">
        <v>29</v>
      </c>
      <c r="Q245" s="25" t="s">
        <v>961</v>
      </c>
      <c r="R245" s="25" t="s">
        <v>244</v>
      </c>
      <c r="S245" s="25" t="s">
        <v>177</v>
      </c>
      <c r="T245" s="25" t="s">
        <v>176</v>
      </c>
      <c r="U245" s="25" t="s">
        <v>175</v>
      </c>
    </row>
    <row r="246" spans="1:21" x14ac:dyDescent="0.2">
      <c r="A246" s="28"/>
      <c r="B246" s="25" t="s">
        <v>243</v>
      </c>
      <c r="C246" s="25">
        <v>13868871</v>
      </c>
      <c r="D246" s="25" t="s">
        <v>242</v>
      </c>
      <c r="E246" s="25" t="s">
        <v>185</v>
      </c>
      <c r="F246" s="25" t="s">
        <v>241</v>
      </c>
      <c r="G246" s="25" t="s">
        <v>183</v>
      </c>
      <c r="H246" s="25" t="s">
        <v>240</v>
      </c>
      <c r="I246" s="27">
        <v>43536</v>
      </c>
      <c r="K246" s="27">
        <v>43614</v>
      </c>
      <c r="L246" s="26">
        <v>-114807</v>
      </c>
      <c r="M246" s="25">
        <v>2000139567</v>
      </c>
      <c r="N246" s="25" t="s">
        <v>989</v>
      </c>
      <c r="O246" s="25" t="s">
        <v>180</v>
      </c>
      <c r="P246" s="26">
        <v>29</v>
      </c>
      <c r="Q246" s="25" t="s">
        <v>179</v>
      </c>
      <c r="R246" s="25" t="s">
        <v>238</v>
      </c>
      <c r="S246" s="25" t="s">
        <v>177</v>
      </c>
      <c r="T246" s="25" t="s">
        <v>176</v>
      </c>
      <c r="U246" s="25" t="s">
        <v>175</v>
      </c>
    </row>
    <row r="247" spans="1:21" x14ac:dyDescent="0.2">
      <c r="A247" s="28"/>
      <c r="B247" s="25" t="s">
        <v>237</v>
      </c>
      <c r="C247" s="25">
        <v>13870182</v>
      </c>
      <c r="D247" s="25" t="s">
        <v>232</v>
      </c>
      <c r="E247" s="25" t="s">
        <v>185</v>
      </c>
      <c r="F247" s="25" t="s">
        <v>236</v>
      </c>
      <c r="G247" s="25" t="s">
        <v>183</v>
      </c>
      <c r="H247" s="25" t="s">
        <v>235</v>
      </c>
      <c r="I247" s="27">
        <v>43537</v>
      </c>
      <c r="K247" s="27">
        <v>43594</v>
      </c>
      <c r="L247" s="26">
        <v>-114516</v>
      </c>
      <c r="M247" s="25">
        <v>2000139567</v>
      </c>
      <c r="N247" s="25" t="s">
        <v>988</v>
      </c>
      <c r="O247" s="25" t="s">
        <v>180</v>
      </c>
      <c r="P247" s="26">
        <v>29</v>
      </c>
      <c r="Q247" s="25" t="s">
        <v>179</v>
      </c>
      <c r="R247" s="25" t="s">
        <v>228</v>
      </c>
      <c r="S247" s="25" t="s">
        <v>177</v>
      </c>
      <c r="T247" s="25" t="s">
        <v>176</v>
      </c>
      <c r="U247" s="25" t="s">
        <v>175</v>
      </c>
    </row>
    <row r="248" spans="1:21" x14ac:dyDescent="0.2">
      <c r="A248" s="28"/>
      <c r="B248" s="25" t="s">
        <v>233</v>
      </c>
      <c r="C248" s="25">
        <v>13888877</v>
      </c>
      <c r="D248" s="25" t="s">
        <v>232</v>
      </c>
      <c r="E248" s="25" t="s">
        <v>185</v>
      </c>
      <c r="F248" s="25" t="s">
        <v>231</v>
      </c>
      <c r="G248" s="25" t="s">
        <v>183</v>
      </c>
      <c r="H248" s="25" t="s">
        <v>230</v>
      </c>
      <c r="I248" s="27">
        <v>43554</v>
      </c>
      <c r="K248" s="27">
        <v>43594</v>
      </c>
      <c r="L248" s="26">
        <v>-1440908</v>
      </c>
      <c r="M248" s="25">
        <v>2000139567</v>
      </c>
      <c r="N248" s="25" t="s">
        <v>987</v>
      </c>
      <c r="O248" s="25" t="s">
        <v>180</v>
      </c>
      <c r="P248" s="26">
        <v>29</v>
      </c>
      <c r="Q248" s="25" t="s">
        <v>179</v>
      </c>
      <c r="R248" s="25" t="s">
        <v>228</v>
      </c>
      <c r="S248" s="25" t="s">
        <v>177</v>
      </c>
      <c r="T248" s="25" t="s">
        <v>176</v>
      </c>
      <c r="U248" s="25" t="s">
        <v>175</v>
      </c>
    </row>
    <row r="249" spans="1:21" x14ac:dyDescent="0.2">
      <c r="A249" s="28"/>
      <c r="B249" s="25" t="s">
        <v>986</v>
      </c>
      <c r="C249" s="25" t="s">
        <v>986</v>
      </c>
      <c r="D249" s="25" t="s">
        <v>724</v>
      </c>
      <c r="E249" s="25" t="s">
        <v>185</v>
      </c>
      <c r="F249" s="25" t="s">
        <v>985</v>
      </c>
      <c r="G249" s="25" t="s">
        <v>276</v>
      </c>
      <c r="H249" s="25" t="s">
        <v>726</v>
      </c>
      <c r="I249" s="27">
        <v>43593</v>
      </c>
      <c r="K249" s="27">
        <v>43593</v>
      </c>
      <c r="L249" s="26">
        <v>2891255</v>
      </c>
      <c r="M249" s="25">
        <v>2000139567</v>
      </c>
      <c r="N249" s="25" t="s">
        <v>983</v>
      </c>
      <c r="O249" s="25" t="s">
        <v>271</v>
      </c>
      <c r="P249" s="26">
        <v>30</v>
      </c>
      <c r="Q249" s="25" t="s">
        <v>270</v>
      </c>
      <c r="R249" s="25" t="s">
        <v>881</v>
      </c>
      <c r="S249" s="25" t="s">
        <v>177</v>
      </c>
      <c r="T249" s="25" t="s">
        <v>176</v>
      </c>
      <c r="U249" s="25" t="s">
        <v>175</v>
      </c>
    </row>
    <row r="250" spans="1:21" x14ac:dyDescent="0.2">
      <c r="A250" s="28"/>
      <c r="B250" s="25" t="s">
        <v>1013</v>
      </c>
      <c r="C250" s="25" t="s">
        <v>1013</v>
      </c>
      <c r="D250" s="25" t="s">
        <v>981</v>
      </c>
      <c r="E250" s="25" t="s">
        <v>185</v>
      </c>
      <c r="F250" s="25" t="s">
        <v>1009</v>
      </c>
      <c r="G250" s="25" t="s">
        <v>419</v>
      </c>
      <c r="H250" s="25" t="s">
        <v>1016</v>
      </c>
      <c r="I250" s="27">
        <v>43593</v>
      </c>
      <c r="K250" s="27">
        <v>43623</v>
      </c>
      <c r="L250" s="26">
        <v>317486</v>
      </c>
      <c r="M250" s="25">
        <v>2000139566</v>
      </c>
      <c r="N250" s="25" t="s">
        <v>417</v>
      </c>
      <c r="O250" s="25" t="s">
        <v>271</v>
      </c>
      <c r="P250" s="26">
        <v>30</v>
      </c>
      <c r="Q250" s="25" t="s">
        <v>557</v>
      </c>
      <c r="R250" s="25" t="s">
        <v>417</v>
      </c>
      <c r="S250" s="25" t="s">
        <v>177</v>
      </c>
      <c r="T250" s="25" t="s">
        <v>176</v>
      </c>
      <c r="U250" s="25" t="s">
        <v>175</v>
      </c>
    </row>
    <row r="251" spans="1:21" x14ac:dyDescent="0.2">
      <c r="A251" s="28"/>
      <c r="B251" s="25" t="s">
        <v>1013</v>
      </c>
      <c r="C251" s="25" t="s">
        <v>1013</v>
      </c>
      <c r="D251" s="25" t="s">
        <v>981</v>
      </c>
      <c r="E251" s="25" t="s">
        <v>185</v>
      </c>
      <c r="F251" s="25" t="s">
        <v>1009</v>
      </c>
      <c r="G251" s="25" t="s">
        <v>419</v>
      </c>
      <c r="H251" s="25" t="s">
        <v>1010</v>
      </c>
      <c r="I251" s="27">
        <v>43593</v>
      </c>
      <c r="K251" s="27">
        <v>43623</v>
      </c>
      <c r="L251" s="26">
        <v>-317486</v>
      </c>
      <c r="M251" s="25">
        <v>2000139566</v>
      </c>
      <c r="N251" s="25" t="s">
        <v>417</v>
      </c>
      <c r="O251" s="25" t="s">
        <v>180</v>
      </c>
      <c r="P251" s="26">
        <v>30</v>
      </c>
      <c r="Q251" s="25" t="s">
        <v>557</v>
      </c>
      <c r="R251" s="25" t="s">
        <v>417</v>
      </c>
      <c r="S251" s="25" t="s">
        <v>177</v>
      </c>
      <c r="T251" s="25" t="s">
        <v>176</v>
      </c>
      <c r="U251" s="25" t="s">
        <v>175</v>
      </c>
    </row>
    <row r="252" spans="1:21" x14ac:dyDescent="0.2">
      <c r="A252" s="28"/>
      <c r="B252" s="25" t="s">
        <v>1019</v>
      </c>
      <c r="C252" s="25">
        <v>13878084</v>
      </c>
      <c r="D252" s="25" t="s">
        <v>1018</v>
      </c>
      <c r="E252" s="25" t="s">
        <v>185</v>
      </c>
      <c r="F252" s="25" t="s">
        <v>1017</v>
      </c>
      <c r="G252" s="25" t="s">
        <v>183</v>
      </c>
      <c r="H252" s="25" t="s">
        <v>1016</v>
      </c>
      <c r="I252" s="27">
        <v>43544</v>
      </c>
      <c r="K252" s="27">
        <v>43585</v>
      </c>
      <c r="L252" s="26">
        <v>-317486</v>
      </c>
      <c r="M252" s="25">
        <v>2000139566</v>
      </c>
      <c r="N252" s="25" t="s">
        <v>1015</v>
      </c>
      <c r="O252" s="25" t="s">
        <v>180</v>
      </c>
      <c r="P252" s="26">
        <v>29</v>
      </c>
      <c r="Q252" s="25" t="s">
        <v>189</v>
      </c>
      <c r="R252" s="25" t="s">
        <v>1014</v>
      </c>
      <c r="S252" s="25" t="s">
        <v>177</v>
      </c>
      <c r="T252" s="25" t="s">
        <v>176</v>
      </c>
      <c r="U252" s="25" t="s">
        <v>175</v>
      </c>
    </row>
    <row r="253" spans="1:21" x14ac:dyDescent="0.2">
      <c r="A253" s="28"/>
      <c r="B253" s="25" t="s">
        <v>1013</v>
      </c>
      <c r="C253" s="25" t="s">
        <v>1013</v>
      </c>
      <c r="D253" s="25" t="s">
        <v>1012</v>
      </c>
      <c r="E253" s="25" t="s">
        <v>185</v>
      </c>
      <c r="F253" s="25" t="s">
        <v>1011</v>
      </c>
      <c r="G253" s="25" t="s">
        <v>276</v>
      </c>
      <c r="H253" s="25" t="s">
        <v>1010</v>
      </c>
      <c r="I253" s="27">
        <v>43593</v>
      </c>
      <c r="K253" s="27">
        <v>43593</v>
      </c>
      <c r="L253" s="26">
        <v>317486</v>
      </c>
      <c r="M253" s="25">
        <v>2000139566</v>
      </c>
      <c r="N253" s="25" t="s">
        <v>983</v>
      </c>
      <c r="O253" s="25" t="s">
        <v>271</v>
      </c>
      <c r="P253" s="26">
        <v>30</v>
      </c>
      <c r="Q253" s="25" t="s">
        <v>270</v>
      </c>
      <c r="R253" s="25" t="s">
        <v>1008</v>
      </c>
      <c r="S253" s="25" t="s">
        <v>177</v>
      </c>
      <c r="T253" s="25" t="s">
        <v>176</v>
      </c>
      <c r="U253" s="25" t="s">
        <v>175</v>
      </c>
    </row>
    <row r="254" spans="1:21" x14ac:dyDescent="0.2">
      <c r="A254" s="28"/>
      <c r="B254" s="25" t="s">
        <v>1007</v>
      </c>
      <c r="C254" s="25">
        <v>13678503</v>
      </c>
      <c r="D254" s="25" t="s">
        <v>1006</v>
      </c>
      <c r="E254" s="25" t="s">
        <v>185</v>
      </c>
      <c r="F254" s="25" t="s">
        <v>1005</v>
      </c>
      <c r="G254" s="25" t="s">
        <v>553</v>
      </c>
      <c r="H254" s="25" t="s">
        <v>530</v>
      </c>
      <c r="I254" s="27">
        <v>43593</v>
      </c>
      <c r="K254" s="27">
        <v>43623</v>
      </c>
      <c r="L254" s="26">
        <v>-55098</v>
      </c>
      <c r="M254" s="25">
        <v>2000139565</v>
      </c>
      <c r="N254" s="25" t="s">
        <v>1023</v>
      </c>
      <c r="O254" s="25" t="s">
        <v>180</v>
      </c>
      <c r="P254" s="26">
        <v>-60</v>
      </c>
      <c r="Q254" s="25" t="s">
        <v>557</v>
      </c>
      <c r="R254" s="25" t="s">
        <v>1003</v>
      </c>
      <c r="S254" s="25" t="s">
        <v>177</v>
      </c>
      <c r="T254" s="25" t="s">
        <v>176</v>
      </c>
      <c r="U254" s="25" t="s">
        <v>175</v>
      </c>
    </row>
    <row r="255" spans="1:21" x14ac:dyDescent="0.2">
      <c r="A255" s="28"/>
      <c r="B255" s="25" t="s">
        <v>1022</v>
      </c>
      <c r="C255" s="25" t="s">
        <v>1022</v>
      </c>
      <c r="D255" s="25" t="s">
        <v>981</v>
      </c>
      <c r="E255" s="25" t="s">
        <v>185</v>
      </c>
      <c r="F255" s="25" t="s">
        <v>1020</v>
      </c>
      <c r="G255" s="25" t="s">
        <v>419</v>
      </c>
      <c r="H255" s="25" t="s">
        <v>530</v>
      </c>
      <c r="I255" s="27">
        <v>43593</v>
      </c>
      <c r="K255" s="27">
        <v>43623</v>
      </c>
      <c r="L255" s="26">
        <v>55098</v>
      </c>
      <c r="M255" s="25">
        <v>2000139565</v>
      </c>
      <c r="N255" s="25" t="s">
        <v>417</v>
      </c>
      <c r="O255" s="25" t="s">
        <v>271</v>
      </c>
      <c r="P255" s="26">
        <v>30</v>
      </c>
      <c r="Q255" s="25" t="s">
        <v>557</v>
      </c>
      <c r="R255" s="25" t="s">
        <v>417</v>
      </c>
      <c r="S255" s="25" t="s">
        <v>177</v>
      </c>
      <c r="T255" s="25" t="s">
        <v>176</v>
      </c>
      <c r="U255" s="25" t="s">
        <v>175</v>
      </c>
    </row>
    <row r="256" spans="1:21" x14ac:dyDescent="0.2">
      <c r="A256" s="28"/>
      <c r="B256" s="25" t="s">
        <v>1022</v>
      </c>
      <c r="C256" s="25" t="s">
        <v>1022</v>
      </c>
      <c r="D256" s="25" t="s">
        <v>981</v>
      </c>
      <c r="E256" s="25" t="s">
        <v>185</v>
      </c>
      <c r="F256" s="25" t="s">
        <v>1020</v>
      </c>
      <c r="G256" s="25" t="s">
        <v>419</v>
      </c>
      <c r="H256" s="25" t="s">
        <v>818</v>
      </c>
      <c r="I256" s="27">
        <v>43593</v>
      </c>
      <c r="K256" s="27">
        <v>43623</v>
      </c>
      <c r="L256" s="26">
        <v>-55098</v>
      </c>
      <c r="M256" s="25">
        <v>2000139565</v>
      </c>
      <c r="N256" s="25" t="s">
        <v>417</v>
      </c>
      <c r="O256" s="25" t="s">
        <v>180</v>
      </c>
      <c r="P256" s="26">
        <v>30</v>
      </c>
      <c r="Q256" s="25" t="s">
        <v>557</v>
      </c>
      <c r="R256" s="25" t="s">
        <v>417</v>
      </c>
      <c r="S256" s="25" t="s">
        <v>177</v>
      </c>
      <c r="T256" s="25" t="s">
        <v>176</v>
      </c>
      <c r="U256" s="25" t="s">
        <v>175</v>
      </c>
    </row>
    <row r="257" spans="1:21" x14ac:dyDescent="0.2">
      <c r="A257" s="28"/>
      <c r="B257" s="25" t="s">
        <v>1022</v>
      </c>
      <c r="C257" s="25" t="s">
        <v>1022</v>
      </c>
      <c r="D257" s="25" t="s">
        <v>816</v>
      </c>
      <c r="E257" s="25" t="s">
        <v>185</v>
      </c>
      <c r="F257" s="25" t="s">
        <v>1021</v>
      </c>
      <c r="G257" s="25" t="s">
        <v>276</v>
      </c>
      <c r="H257" s="25" t="s">
        <v>818</v>
      </c>
      <c r="I257" s="27">
        <v>43593</v>
      </c>
      <c r="K257" s="27">
        <v>43593</v>
      </c>
      <c r="L257" s="26">
        <v>55098</v>
      </c>
      <c r="M257" s="25">
        <v>2000139565</v>
      </c>
      <c r="N257" s="25" t="s">
        <v>983</v>
      </c>
      <c r="O257" s="25" t="s">
        <v>271</v>
      </c>
      <c r="P257" s="26">
        <v>30</v>
      </c>
      <c r="Q257" s="25" t="s">
        <v>270</v>
      </c>
      <c r="R257" s="25" t="s">
        <v>964</v>
      </c>
      <c r="S257" s="25" t="s">
        <v>177</v>
      </c>
      <c r="T257" s="25" t="s">
        <v>176</v>
      </c>
      <c r="U257" s="25" t="s">
        <v>175</v>
      </c>
    </row>
    <row r="258" spans="1:21" x14ac:dyDescent="0.2">
      <c r="A258" s="28"/>
      <c r="B258" s="25" t="s">
        <v>1028</v>
      </c>
      <c r="C258" s="25" t="s">
        <v>1028</v>
      </c>
      <c r="D258" s="25" t="s">
        <v>981</v>
      </c>
      <c r="E258" s="25" t="s">
        <v>185</v>
      </c>
      <c r="F258" s="25" t="s">
        <v>1026</v>
      </c>
      <c r="G258" s="25" t="s">
        <v>419</v>
      </c>
      <c r="H258" s="25" t="s">
        <v>240</v>
      </c>
      <c r="I258" s="27">
        <v>43593</v>
      </c>
      <c r="K258" s="27">
        <v>43623</v>
      </c>
      <c r="L258" s="26">
        <v>240394</v>
      </c>
      <c r="M258" s="25">
        <v>2000139562</v>
      </c>
      <c r="N258" s="25" t="s">
        <v>417</v>
      </c>
      <c r="O258" s="25" t="s">
        <v>271</v>
      </c>
      <c r="P258" s="26">
        <v>30</v>
      </c>
      <c r="Q258" s="25" t="s">
        <v>557</v>
      </c>
      <c r="R258" s="25" t="s">
        <v>417</v>
      </c>
      <c r="S258" s="25" t="s">
        <v>177</v>
      </c>
      <c r="T258" s="25" t="s">
        <v>176</v>
      </c>
      <c r="U258" s="25" t="s">
        <v>175</v>
      </c>
    </row>
    <row r="259" spans="1:21" x14ac:dyDescent="0.2">
      <c r="A259" s="28"/>
      <c r="B259" s="25" t="s">
        <v>1028</v>
      </c>
      <c r="C259" s="25" t="s">
        <v>1028</v>
      </c>
      <c r="D259" s="25" t="s">
        <v>981</v>
      </c>
      <c r="E259" s="25" t="s">
        <v>185</v>
      </c>
      <c r="F259" s="25" t="s">
        <v>1026</v>
      </c>
      <c r="G259" s="25" t="s">
        <v>419</v>
      </c>
      <c r="H259" s="25" t="s">
        <v>678</v>
      </c>
      <c r="I259" s="27">
        <v>43593</v>
      </c>
      <c r="K259" s="27">
        <v>43623</v>
      </c>
      <c r="L259" s="26">
        <v>-240394</v>
      </c>
      <c r="M259" s="25">
        <v>2000139562</v>
      </c>
      <c r="N259" s="25" t="s">
        <v>417</v>
      </c>
      <c r="O259" s="25" t="s">
        <v>180</v>
      </c>
      <c r="P259" s="26">
        <v>30</v>
      </c>
      <c r="Q259" s="25" t="s">
        <v>557</v>
      </c>
      <c r="R259" s="25" t="s">
        <v>417</v>
      </c>
      <c r="S259" s="25" t="s">
        <v>177</v>
      </c>
      <c r="T259" s="25" t="s">
        <v>176</v>
      </c>
      <c r="U259" s="25" t="s">
        <v>175</v>
      </c>
    </row>
    <row r="260" spans="1:21" x14ac:dyDescent="0.2">
      <c r="A260" s="28"/>
      <c r="B260" s="25" t="s">
        <v>243</v>
      </c>
      <c r="C260" s="25">
        <v>13868871</v>
      </c>
      <c r="D260" s="25" t="s">
        <v>242</v>
      </c>
      <c r="E260" s="25" t="s">
        <v>185</v>
      </c>
      <c r="F260" s="25" t="s">
        <v>241</v>
      </c>
      <c r="G260" s="25" t="s">
        <v>183</v>
      </c>
      <c r="H260" s="25" t="s">
        <v>240</v>
      </c>
      <c r="I260" s="27">
        <v>43536</v>
      </c>
      <c r="K260" s="27">
        <v>43614</v>
      </c>
      <c r="L260" s="26">
        <v>-240394</v>
      </c>
      <c r="M260" s="25">
        <v>2000139562</v>
      </c>
      <c r="N260" s="25" t="s">
        <v>1029</v>
      </c>
      <c r="O260" s="25" t="s">
        <v>180</v>
      </c>
      <c r="P260" s="26">
        <v>29</v>
      </c>
      <c r="Q260" s="25" t="s">
        <v>179</v>
      </c>
      <c r="R260" s="25" t="s">
        <v>238</v>
      </c>
      <c r="S260" s="25" t="s">
        <v>177</v>
      </c>
      <c r="T260" s="25" t="s">
        <v>176</v>
      </c>
      <c r="U260" s="25" t="s">
        <v>175</v>
      </c>
    </row>
    <row r="261" spans="1:21" x14ac:dyDescent="0.2">
      <c r="A261" s="28"/>
      <c r="B261" s="25" t="s">
        <v>1028</v>
      </c>
      <c r="C261" s="25" t="s">
        <v>1028</v>
      </c>
      <c r="D261" s="25" t="s">
        <v>676</v>
      </c>
      <c r="E261" s="25" t="s">
        <v>185</v>
      </c>
      <c r="F261" s="25" t="s">
        <v>1027</v>
      </c>
      <c r="G261" s="25" t="s">
        <v>419</v>
      </c>
      <c r="H261" s="25" t="s">
        <v>678</v>
      </c>
      <c r="I261" s="27">
        <v>43593</v>
      </c>
      <c r="K261" s="27">
        <v>43612</v>
      </c>
      <c r="L261" s="26">
        <v>240394</v>
      </c>
      <c r="M261" s="25">
        <v>2000139562</v>
      </c>
      <c r="N261" s="25" t="s">
        <v>1025</v>
      </c>
      <c r="O261" s="25" t="s">
        <v>271</v>
      </c>
      <c r="P261" s="26">
        <v>30</v>
      </c>
      <c r="Q261" s="25" t="s">
        <v>1024</v>
      </c>
      <c r="R261" s="25" t="s">
        <v>983</v>
      </c>
      <c r="S261" s="25" t="s">
        <v>177</v>
      </c>
      <c r="T261" s="25" t="s">
        <v>176</v>
      </c>
      <c r="U261" s="25" t="s">
        <v>175</v>
      </c>
    </row>
    <row r="262" spans="1:21" x14ac:dyDescent="0.2">
      <c r="A262" s="28"/>
      <c r="B262" s="25" t="s">
        <v>417</v>
      </c>
      <c r="C262" s="25" t="s">
        <v>417</v>
      </c>
      <c r="D262" s="25" t="s">
        <v>1050</v>
      </c>
      <c r="E262" s="25" t="s">
        <v>351</v>
      </c>
      <c r="F262" s="25" t="s">
        <v>1030</v>
      </c>
      <c r="G262" s="25" t="s">
        <v>419</v>
      </c>
      <c r="H262" s="25" t="s">
        <v>246</v>
      </c>
      <c r="I262" s="27">
        <v>43613</v>
      </c>
      <c r="K262" s="27">
        <v>43613</v>
      </c>
      <c r="L262" s="26">
        <v>141115</v>
      </c>
      <c r="M262" s="25">
        <v>2000137836</v>
      </c>
      <c r="N262" s="25" t="s">
        <v>1049</v>
      </c>
      <c r="O262" s="25" t="s">
        <v>271</v>
      </c>
      <c r="P262" s="26">
        <v>0</v>
      </c>
      <c r="Q262" s="25" t="s">
        <v>961</v>
      </c>
      <c r="R262" s="25" t="s">
        <v>1048</v>
      </c>
      <c r="S262" s="25" t="s">
        <v>177</v>
      </c>
      <c r="T262" s="25" t="s">
        <v>176</v>
      </c>
      <c r="U262" s="25" t="s">
        <v>175</v>
      </c>
    </row>
    <row r="263" spans="1:21" x14ac:dyDescent="0.2">
      <c r="A263" s="28"/>
      <c r="B263" s="25" t="s">
        <v>417</v>
      </c>
      <c r="C263" s="25" t="s">
        <v>417</v>
      </c>
      <c r="D263" s="25" t="s">
        <v>1050</v>
      </c>
      <c r="E263" s="25" t="s">
        <v>185</v>
      </c>
      <c r="F263" s="25" t="s">
        <v>1030</v>
      </c>
      <c r="G263" s="25" t="s">
        <v>419</v>
      </c>
      <c r="H263" s="25" t="s">
        <v>652</v>
      </c>
      <c r="I263" s="27">
        <v>43613</v>
      </c>
      <c r="K263" s="27">
        <v>43613</v>
      </c>
      <c r="L263" s="26">
        <v>-141115</v>
      </c>
      <c r="M263" s="25">
        <v>2000137836</v>
      </c>
      <c r="N263" s="25" t="s">
        <v>1049</v>
      </c>
      <c r="O263" s="25" t="s">
        <v>180</v>
      </c>
      <c r="P263" s="26">
        <v>0</v>
      </c>
      <c r="Q263" s="25" t="s">
        <v>961</v>
      </c>
      <c r="R263" s="25" t="s">
        <v>1048</v>
      </c>
      <c r="S263" s="25" t="s">
        <v>177</v>
      </c>
      <c r="T263" s="25" t="s">
        <v>176</v>
      </c>
      <c r="U263" s="25" t="s">
        <v>175</v>
      </c>
    </row>
    <row r="264" spans="1:21" x14ac:dyDescent="0.2">
      <c r="A264" s="28"/>
      <c r="B264" s="25" t="s">
        <v>1047</v>
      </c>
      <c r="C264" s="25">
        <v>13841378</v>
      </c>
      <c r="D264" s="25" t="s">
        <v>248</v>
      </c>
      <c r="E264" s="25" t="s">
        <v>185</v>
      </c>
      <c r="F264" s="25" t="s">
        <v>1046</v>
      </c>
      <c r="G264" s="25" t="s">
        <v>183</v>
      </c>
      <c r="H264" s="25" t="s">
        <v>246</v>
      </c>
      <c r="I264" s="27">
        <v>43509</v>
      </c>
      <c r="K264" s="27">
        <v>43562</v>
      </c>
      <c r="L264" s="26">
        <v>-33200</v>
      </c>
      <c r="M264" s="25">
        <v>2000137836</v>
      </c>
      <c r="N264" s="25" t="s">
        <v>1037</v>
      </c>
      <c r="O264" s="25" t="s">
        <v>180</v>
      </c>
      <c r="P264" s="26">
        <v>52</v>
      </c>
      <c r="Q264" s="25" t="s">
        <v>189</v>
      </c>
      <c r="R264" s="25" t="s">
        <v>244</v>
      </c>
      <c r="S264" s="25" t="s">
        <v>177</v>
      </c>
      <c r="T264" s="25" t="s">
        <v>176</v>
      </c>
      <c r="U264" s="25" t="s">
        <v>175</v>
      </c>
    </row>
    <row r="265" spans="1:21" x14ac:dyDescent="0.2">
      <c r="A265" s="28"/>
      <c r="B265" s="25" t="s">
        <v>1045</v>
      </c>
      <c r="C265" s="25">
        <v>13847769</v>
      </c>
      <c r="D265" s="25" t="s">
        <v>248</v>
      </c>
      <c r="E265" s="25" t="s">
        <v>185</v>
      </c>
      <c r="F265" s="25" t="s">
        <v>1044</v>
      </c>
      <c r="G265" s="25" t="s">
        <v>183</v>
      </c>
      <c r="H265" s="25" t="s">
        <v>246</v>
      </c>
      <c r="I265" s="27">
        <v>43516</v>
      </c>
      <c r="K265" s="27">
        <v>43562</v>
      </c>
      <c r="L265" s="26">
        <v>-78900</v>
      </c>
      <c r="M265" s="25">
        <v>2000137836</v>
      </c>
      <c r="N265" s="25" t="s">
        <v>1043</v>
      </c>
      <c r="O265" s="25" t="s">
        <v>180</v>
      </c>
      <c r="P265" s="26">
        <v>52</v>
      </c>
      <c r="Q265" s="25" t="s">
        <v>189</v>
      </c>
      <c r="R265" s="25" t="s">
        <v>244</v>
      </c>
      <c r="S265" s="25" t="s">
        <v>177</v>
      </c>
      <c r="T265" s="25" t="s">
        <v>176</v>
      </c>
      <c r="U265" s="25" t="s">
        <v>175</v>
      </c>
    </row>
    <row r="266" spans="1:21" x14ac:dyDescent="0.2">
      <c r="A266" s="28"/>
      <c r="B266" s="25" t="s">
        <v>1042</v>
      </c>
      <c r="C266" s="25">
        <v>13851738</v>
      </c>
      <c r="D266" s="25" t="s">
        <v>248</v>
      </c>
      <c r="E266" s="25" t="s">
        <v>185</v>
      </c>
      <c r="F266" s="25" t="s">
        <v>1041</v>
      </c>
      <c r="G266" s="25" t="s">
        <v>183</v>
      </c>
      <c r="H266" s="25" t="s">
        <v>559</v>
      </c>
      <c r="I266" s="27">
        <v>43520</v>
      </c>
      <c r="K266" s="27">
        <v>43562</v>
      </c>
      <c r="L266" s="26">
        <v>-54400</v>
      </c>
      <c r="M266" s="25">
        <v>2000137836</v>
      </c>
      <c r="N266" s="25" t="s">
        <v>1040</v>
      </c>
      <c r="O266" s="25" t="s">
        <v>180</v>
      </c>
      <c r="P266" s="26">
        <v>52</v>
      </c>
      <c r="Q266" s="25" t="s">
        <v>189</v>
      </c>
      <c r="R266" s="25" t="s">
        <v>244</v>
      </c>
      <c r="S266" s="25" t="s">
        <v>177</v>
      </c>
      <c r="T266" s="25" t="s">
        <v>176</v>
      </c>
      <c r="U266" s="25" t="s">
        <v>175</v>
      </c>
    </row>
    <row r="267" spans="1:21" x14ac:dyDescent="0.2">
      <c r="A267" s="28"/>
      <c r="B267" s="25" t="s">
        <v>1039</v>
      </c>
      <c r="C267" s="25">
        <v>13831860</v>
      </c>
      <c r="D267" s="25" t="s">
        <v>992</v>
      </c>
      <c r="E267" s="25" t="s">
        <v>351</v>
      </c>
      <c r="F267" s="25" t="s">
        <v>1038</v>
      </c>
      <c r="G267" s="25" t="s">
        <v>183</v>
      </c>
      <c r="H267" s="25" t="s">
        <v>246</v>
      </c>
      <c r="I267" s="27">
        <v>43537</v>
      </c>
      <c r="K267" s="27">
        <v>43564</v>
      </c>
      <c r="L267" s="26">
        <v>-47800</v>
      </c>
      <c r="M267" s="25">
        <v>2000137836</v>
      </c>
      <c r="N267" s="25" t="s">
        <v>1037</v>
      </c>
      <c r="O267" s="25" t="s">
        <v>180</v>
      </c>
      <c r="P267" s="26">
        <v>19</v>
      </c>
      <c r="Q267" s="25" t="s">
        <v>189</v>
      </c>
      <c r="R267" s="25" t="s">
        <v>244</v>
      </c>
      <c r="S267" s="25" t="s">
        <v>177</v>
      </c>
      <c r="T267" s="25" t="s">
        <v>176</v>
      </c>
      <c r="U267" s="25" t="s">
        <v>175</v>
      </c>
    </row>
    <row r="268" spans="1:21" x14ac:dyDescent="0.2">
      <c r="A268" s="28"/>
      <c r="B268" s="25" t="s">
        <v>1036</v>
      </c>
      <c r="C268" s="25">
        <v>13863544</v>
      </c>
      <c r="D268" s="25" t="s">
        <v>992</v>
      </c>
      <c r="E268" s="25" t="s">
        <v>351</v>
      </c>
      <c r="F268" s="25" t="s">
        <v>1035</v>
      </c>
      <c r="G268" s="25" t="s">
        <v>183</v>
      </c>
      <c r="H268" s="25" t="s">
        <v>246</v>
      </c>
      <c r="I268" s="27">
        <v>43531</v>
      </c>
      <c r="K268" s="27">
        <v>43564</v>
      </c>
      <c r="L268" s="26">
        <v>-47800</v>
      </c>
      <c r="M268" s="25">
        <v>2000137836</v>
      </c>
      <c r="N268" s="25" t="s">
        <v>1034</v>
      </c>
      <c r="O268" s="25" t="s">
        <v>180</v>
      </c>
      <c r="P268" s="26">
        <v>19</v>
      </c>
      <c r="Q268" s="25" t="s">
        <v>189</v>
      </c>
      <c r="R268" s="25" t="s">
        <v>244</v>
      </c>
      <c r="S268" s="25" t="s">
        <v>177</v>
      </c>
      <c r="T268" s="25" t="s">
        <v>176</v>
      </c>
      <c r="U268" s="25" t="s">
        <v>175</v>
      </c>
    </row>
    <row r="269" spans="1:21" x14ac:dyDescent="0.2">
      <c r="A269" s="28"/>
      <c r="B269" s="25" t="s">
        <v>993</v>
      </c>
      <c r="C269" s="25">
        <v>13864666</v>
      </c>
      <c r="D269" s="25" t="s">
        <v>992</v>
      </c>
      <c r="E269" s="25" t="s">
        <v>351</v>
      </c>
      <c r="F269" s="25" t="s">
        <v>991</v>
      </c>
      <c r="G269" s="25" t="s">
        <v>183</v>
      </c>
      <c r="H269" s="25" t="s">
        <v>656</v>
      </c>
      <c r="I269" s="27">
        <v>43542</v>
      </c>
      <c r="K269" s="27">
        <v>43613</v>
      </c>
      <c r="L269" s="26">
        <v>-45515</v>
      </c>
      <c r="M269" s="25">
        <v>2000137836</v>
      </c>
      <c r="N269" s="25" t="s">
        <v>1033</v>
      </c>
      <c r="O269" s="25" t="s">
        <v>180</v>
      </c>
      <c r="P269" s="26">
        <v>71</v>
      </c>
      <c r="Q269" s="25" t="s">
        <v>961</v>
      </c>
      <c r="R269" s="25" t="s">
        <v>244</v>
      </c>
      <c r="S269" s="25" t="s">
        <v>177</v>
      </c>
      <c r="T269" s="25" t="s">
        <v>176</v>
      </c>
      <c r="U269" s="25" t="s">
        <v>175</v>
      </c>
    </row>
    <row r="270" spans="1:21" x14ac:dyDescent="0.2">
      <c r="A270" s="28"/>
      <c r="B270" s="25" t="s">
        <v>1032</v>
      </c>
      <c r="C270" s="25" t="s">
        <v>1032</v>
      </c>
      <c r="D270" s="25" t="s">
        <v>650</v>
      </c>
      <c r="E270" s="25" t="s">
        <v>185</v>
      </c>
      <c r="F270" s="25" t="s">
        <v>1031</v>
      </c>
      <c r="G270" s="25" t="s">
        <v>276</v>
      </c>
      <c r="H270" s="25" t="s">
        <v>652</v>
      </c>
      <c r="I270" s="27">
        <v>43593</v>
      </c>
      <c r="K270" s="27">
        <v>43593</v>
      </c>
      <c r="L270" s="26">
        <v>307615</v>
      </c>
      <c r="M270" s="25">
        <v>2000137836</v>
      </c>
      <c r="N270" s="25" t="s">
        <v>983</v>
      </c>
      <c r="O270" s="25" t="s">
        <v>271</v>
      </c>
      <c r="P270" s="26">
        <v>20</v>
      </c>
      <c r="Q270" s="25" t="s">
        <v>270</v>
      </c>
      <c r="R270" s="25" t="s">
        <v>949</v>
      </c>
      <c r="S270" s="25" t="s">
        <v>177</v>
      </c>
      <c r="T270" s="25" t="s">
        <v>176</v>
      </c>
      <c r="U270" s="25" t="s">
        <v>175</v>
      </c>
    </row>
    <row r="271" spans="1:21" x14ac:dyDescent="0.2">
      <c r="A271" s="28"/>
      <c r="B271" s="25" t="s">
        <v>1028</v>
      </c>
      <c r="C271" s="25" t="s">
        <v>1028</v>
      </c>
      <c r="D271" s="25" t="s">
        <v>1058</v>
      </c>
      <c r="E271" s="25" t="s">
        <v>185</v>
      </c>
      <c r="F271" s="25" t="s">
        <v>1027</v>
      </c>
      <c r="G271" s="25" t="s">
        <v>419</v>
      </c>
      <c r="H271" s="25" t="s">
        <v>678</v>
      </c>
      <c r="I271" s="27">
        <v>43593</v>
      </c>
      <c r="K271" s="27">
        <v>43612</v>
      </c>
      <c r="L271" s="26">
        <v>-240394</v>
      </c>
      <c r="M271" s="25">
        <v>2000137574</v>
      </c>
      <c r="N271" s="25" t="s">
        <v>983</v>
      </c>
      <c r="O271" s="25" t="s">
        <v>180</v>
      </c>
      <c r="P271" s="26">
        <v>19</v>
      </c>
      <c r="Q271" s="25" t="s">
        <v>1024</v>
      </c>
      <c r="R271" s="25" t="s">
        <v>983</v>
      </c>
      <c r="S271" s="25" t="s">
        <v>177</v>
      </c>
      <c r="T271" s="25" t="s">
        <v>176</v>
      </c>
      <c r="U271" s="25" t="s">
        <v>175</v>
      </c>
    </row>
    <row r="272" spans="1:21" x14ac:dyDescent="0.2">
      <c r="A272" s="28"/>
      <c r="B272" s="25" t="s">
        <v>1057</v>
      </c>
      <c r="C272" s="25">
        <v>13807965</v>
      </c>
      <c r="D272" s="25" t="s">
        <v>1054</v>
      </c>
      <c r="E272" s="25" t="s">
        <v>185</v>
      </c>
      <c r="F272" s="25" t="s">
        <v>1056</v>
      </c>
      <c r="G272" s="25" t="s">
        <v>183</v>
      </c>
      <c r="H272" s="25" t="s">
        <v>240</v>
      </c>
      <c r="I272" s="27">
        <v>43473</v>
      </c>
      <c r="K272" s="27">
        <v>43557</v>
      </c>
      <c r="L272" s="26">
        <v>-8278</v>
      </c>
      <c r="M272" s="25">
        <v>2000137574</v>
      </c>
      <c r="N272" s="25" t="s">
        <v>1052</v>
      </c>
      <c r="O272" s="25" t="s">
        <v>180</v>
      </c>
      <c r="P272" s="26">
        <v>72</v>
      </c>
      <c r="Q272" s="25" t="s">
        <v>179</v>
      </c>
      <c r="R272" s="25" t="s">
        <v>427</v>
      </c>
      <c r="S272" s="25" t="s">
        <v>177</v>
      </c>
      <c r="T272" s="25" t="s">
        <v>176</v>
      </c>
      <c r="U272" s="25" t="s">
        <v>175</v>
      </c>
    </row>
    <row r="273" spans="1:21" x14ac:dyDescent="0.2">
      <c r="A273" s="28"/>
      <c r="B273" s="25" t="s">
        <v>1055</v>
      </c>
      <c r="C273" s="25">
        <v>13824023</v>
      </c>
      <c r="D273" s="25" t="s">
        <v>1054</v>
      </c>
      <c r="E273" s="25" t="s">
        <v>185</v>
      </c>
      <c r="F273" s="25" t="s">
        <v>1053</v>
      </c>
      <c r="G273" s="25" t="s">
        <v>183</v>
      </c>
      <c r="H273" s="25" t="s">
        <v>240</v>
      </c>
      <c r="I273" s="27">
        <v>43489</v>
      </c>
      <c r="K273" s="27">
        <v>43557</v>
      </c>
      <c r="L273" s="26">
        <v>-348628</v>
      </c>
      <c r="M273" s="25">
        <v>2000137574</v>
      </c>
      <c r="N273" s="25" t="s">
        <v>1052</v>
      </c>
      <c r="O273" s="25" t="s">
        <v>180</v>
      </c>
      <c r="P273" s="26">
        <v>72</v>
      </c>
      <c r="Q273" s="25" t="s">
        <v>179</v>
      </c>
      <c r="R273" s="25" t="s">
        <v>427</v>
      </c>
      <c r="S273" s="25" t="s">
        <v>177</v>
      </c>
      <c r="T273" s="25" t="s">
        <v>176</v>
      </c>
      <c r="U273" s="25" t="s">
        <v>175</v>
      </c>
    </row>
    <row r="274" spans="1:21" x14ac:dyDescent="0.2">
      <c r="A274" s="28"/>
      <c r="B274" s="25" t="s">
        <v>1028</v>
      </c>
      <c r="C274" s="25" t="s">
        <v>1028</v>
      </c>
      <c r="D274" s="25" t="s">
        <v>676</v>
      </c>
      <c r="E274" s="25" t="s">
        <v>185</v>
      </c>
      <c r="F274" s="25" t="s">
        <v>1051</v>
      </c>
      <c r="G274" s="25" t="s">
        <v>276</v>
      </c>
      <c r="H274" s="25" t="s">
        <v>678</v>
      </c>
      <c r="I274" s="27">
        <v>43593</v>
      </c>
      <c r="K274" s="27">
        <v>43593</v>
      </c>
      <c r="L274" s="26">
        <v>597300</v>
      </c>
      <c r="M274" s="25">
        <v>2000137574</v>
      </c>
      <c r="N274" s="25" t="s">
        <v>983</v>
      </c>
      <c r="O274" s="25" t="s">
        <v>271</v>
      </c>
      <c r="P274" s="26">
        <v>19</v>
      </c>
      <c r="Q274" s="25" t="s">
        <v>270</v>
      </c>
      <c r="R274" s="25" t="s">
        <v>898</v>
      </c>
      <c r="S274" s="25" t="s">
        <v>177</v>
      </c>
      <c r="T274" s="25" t="s">
        <v>176</v>
      </c>
      <c r="U274" s="25" t="s">
        <v>175</v>
      </c>
    </row>
    <row r="275" spans="1:21" x14ac:dyDescent="0.2">
      <c r="A275" s="28"/>
      <c r="B275" s="25" t="s">
        <v>799</v>
      </c>
      <c r="C275" s="25" t="s">
        <v>799</v>
      </c>
      <c r="D275" s="25" t="s">
        <v>1068</v>
      </c>
      <c r="E275" s="25" t="s">
        <v>185</v>
      </c>
      <c r="F275" s="25" t="s">
        <v>1060</v>
      </c>
      <c r="G275" s="25" t="s">
        <v>419</v>
      </c>
      <c r="H275" s="25" t="s">
        <v>995</v>
      </c>
      <c r="I275" s="27">
        <v>43593</v>
      </c>
      <c r="K275" s="27">
        <v>43593</v>
      </c>
      <c r="L275" s="26">
        <v>62253</v>
      </c>
      <c r="M275" s="25">
        <v>2000137391</v>
      </c>
      <c r="O275" s="25" t="s">
        <v>271</v>
      </c>
      <c r="P275" s="26">
        <v>0</v>
      </c>
      <c r="Q275" s="25" t="s">
        <v>797</v>
      </c>
      <c r="R275" s="25" t="s">
        <v>1067</v>
      </c>
      <c r="S275" s="25" t="s">
        <v>177</v>
      </c>
      <c r="T275" s="25" t="s">
        <v>176</v>
      </c>
      <c r="U275" s="25" t="s">
        <v>175</v>
      </c>
    </row>
    <row r="276" spans="1:21" x14ac:dyDescent="0.2">
      <c r="A276" s="28"/>
      <c r="B276" s="25" t="s">
        <v>799</v>
      </c>
      <c r="C276" s="25" t="s">
        <v>799</v>
      </c>
      <c r="D276" s="25" t="s">
        <v>1068</v>
      </c>
      <c r="E276" s="25" t="s">
        <v>185</v>
      </c>
      <c r="F276" s="25" t="s">
        <v>1060</v>
      </c>
      <c r="G276" s="25" t="s">
        <v>419</v>
      </c>
      <c r="H276" s="25" t="s">
        <v>793</v>
      </c>
      <c r="I276" s="27">
        <v>43593</v>
      </c>
      <c r="K276" s="27">
        <v>43593</v>
      </c>
      <c r="L276" s="26">
        <v>-62253</v>
      </c>
      <c r="M276" s="25">
        <v>2000137391</v>
      </c>
      <c r="O276" s="25" t="s">
        <v>180</v>
      </c>
      <c r="P276" s="26">
        <v>0</v>
      </c>
      <c r="Q276" s="25" t="s">
        <v>797</v>
      </c>
      <c r="R276" s="25" t="s">
        <v>1067</v>
      </c>
      <c r="S276" s="25" t="s">
        <v>177</v>
      </c>
      <c r="T276" s="25" t="s">
        <v>176</v>
      </c>
      <c r="U276" s="25" t="s">
        <v>175</v>
      </c>
    </row>
    <row r="277" spans="1:21" x14ac:dyDescent="0.2">
      <c r="A277" s="28"/>
      <c r="B277" s="25" t="s">
        <v>1066</v>
      </c>
      <c r="C277" s="25">
        <v>13876700</v>
      </c>
      <c r="D277" s="25" t="s">
        <v>1065</v>
      </c>
      <c r="E277" s="25" t="s">
        <v>185</v>
      </c>
      <c r="F277" s="25" t="s">
        <v>1064</v>
      </c>
      <c r="G277" s="25" t="s">
        <v>183</v>
      </c>
      <c r="H277" s="25" t="s">
        <v>995</v>
      </c>
      <c r="I277" s="27">
        <v>43543</v>
      </c>
      <c r="K277" s="27">
        <v>43564</v>
      </c>
      <c r="L277" s="26">
        <v>-62253</v>
      </c>
      <c r="M277" s="25">
        <v>2000137391</v>
      </c>
      <c r="N277" s="25" t="s">
        <v>1063</v>
      </c>
      <c r="O277" s="25" t="s">
        <v>180</v>
      </c>
      <c r="P277" s="26">
        <v>-1</v>
      </c>
      <c r="Q277" s="25" t="s">
        <v>797</v>
      </c>
      <c r="R277" s="25" t="s">
        <v>453</v>
      </c>
      <c r="S277" s="25" t="s">
        <v>177</v>
      </c>
      <c r="T277" s="25" t="s">
        <v>176</v>
      </c>
      <c r="U277" s="25" t="s">
        <v>175</v>
      </c>
    </row>
    <row r="278" spans="1:21" x14ac:dyDescent="0.2">
      <c r="A278" s="28"/>
      <c r="B278" s="25" t="s">
        <v>1062</v>
      </c>
      <c r="C278" s="25" t="s">
        <v>1062</v>
      </c>
      <c r="D278" s="25" t="s">
        <v>791</v>
      </c>
      <c r="E278" s="25" t="s">
        <v>185</v>
      </c>
      <c r="F278" s="25" t="s">
        <v>1061</v>
      </c>
      <c r="G278" s="25" t="s">
        <v>276</v>
      </c>
      <c r="H278" s="25" t="s">
        <v>793</v>
      </c>
      <c r="I278" s="27">
        <v>43593</v>
      </c>
      <c r="K278" s="27">
        <v>43593</v>
      </c>
      <c r="L278" s="26">
        <v>62253</v>
      </c>
      <c r="M278" s="25">
        <v>2000137391</v>
      </c>
      <c r="N278" s="25" t="s">
        <v>983</v>
      </c>
      <c r="O278" s="25" t="s">
        <v>271</v>
      </c>
      <c r="P278" s="26">
        <v>0</v>
      </c>
      <c r="Q278" s="25" t="s">
        <v>270</v>
      </c>
      <c r="R278" s="25" t="s">
        <v>1059</v>
      </c>
      <c r="S278" s="25" t="s">
        <v>177</v>
      </c>
      <c r="T278" s="25" t="s">
        <v>176</v>
      </c>
      <c r="U278" s="25" t="s">
        <v>175</v>
      </c>
    </row>
    <row r="279" spans="1:21" x14ac:dyDescent="0.2">
      <c r="A279" s="28"/>
      <c r="B279" s="25" t="s">
        <v>417</v>
      </c>
      <c r="C279" s="25" t="s">
        <v>417</v>
      </c>
      <c r="D279" s="25" t="s">
        <v>1077</v>
      </c>
      <c r="E279" s="25" t="s">
        <v>185</v>
      </c>
      <c r="F279" s="25" t="s">
        <v>1001</v>
      </c>
      <c r="G279" s="25" t="s">
        <v>419</v>
      </c>
      <c r="H279" s="25" t="s">
        <v>652</v>
      </c>
      <c r="I279" s="27">
        <v>43585</v>
      </c>
      <c r="K279" s="27">
        <v>43585</v>
      </c>
      <c r="L279" s="26">
        <v>610119</v>
      </c>
      <c r="M279" s="25">
        <v>2000123023</v>
      </c>
      <c r="N279" s="25" t="s">
        <v>1076</v>
      </c>
      <c r="O279" s="25" t="s">
        <v>271</v>
      </c>
      <c r="P279" s="26">
        <v>0</v>
      </c>
      <c r="Q279" s="25" t="s">
        <v>961</v>
      </c>
      <c r="R279" s="25" t="s">
        <v>999</v>
      </c>
      <c r="S279" s="25" t="s">
        <v>177</v>
      </c>
      <c r="T279" s="25" t="s">
        <v>176</v>
      </c>
      <c r="U279" s="25" t="s">
        <v>175</v>
      </c>
    </row>
    <row r="280" spans="1:21" x14ac:dyDescent="0.2">
      <c r="A280" s="28"/>
      <c r="B280" s="25" t="s">
        <v>1075</v>
      </c>
      <c r="C280" s="25">
        <v>13762183</v>
      </c>
      <c r="D280" s="25" t="s">
        <v>1002</v>
      </c>
      <c r="E280" s="25" t="s">
        <v>185</v>
      </c>
      <c r="F280" s="25" t="s">
        <v>1074</v>
      </c>
      <c r="G280" s="25" t="s">
        <v>419</v>
      </c>
      <c r="H280" s="25" t="s">
        <v>246</v>
      </c>
      <c r="I280" s="27">
        <v>43539</v>
      </c>
      <c r="K280" s="27">
        <v>43539</v>
      </c>
      <c r="L280" s="26">
        <v>-831019</v>
      </c>
      <c r="M280" s="25">
        <v>2000123023</v>
      </c>
      <c r="N280" s="25" t="s">
        <v>1073</v>
      </c>
      <c r="O280" s="25" t="s">
        <v>180</v>
      </c>
      <c r="P280" s="26">
        <v>53</v>
      </c>
      <c r="Q280" s="25" t="s">
        <v>961</v>
      </c>
      <c r="R280" s="25" t="s">
        <v>1072</v>
      </c>
      <c r="S280" s="25" t="s">
        <v>177</v>
      </c>
      <c r="T280" s="25" t="s">
        <v>176</v>
      </c>
      <c r="U280" s="25" t="s">
        <v>175</v>
      </c>
    </row>
    <row r="281" spans="1:21" x14ac:dyDescent="0.2">
      <c r="A281" s="28"/>
      <c r="B281" s="25" t="s">
        <v>1071</v>
      </c>
      <c r="C281" s="25" t="s">
        <v>1071</v>
      </c>
      <c r="D281" s="25" t="s">
        <v>650</v>
      </c>
      <c r="E281" s="25" t="s">
        <v>185</v>
      </c>
      <c r="F281" s="25" t="s">
        <v>1070</v>
      </c>
      <c r="G281" s="25" t="s">
        <v>276</v>
      </c>
      <c r="H281" s="25" t="s">
        <v>652</v>
      </c>
      <c r="I281" s="27">
        <v>43560</v>
      </c>
      <c r="K281" s="27">
        <v>43560</v>
      </c>
      <c r="L281" s="26">
        <v>220900</v>
      </c>
      <c r="M281" s="25">
        <v>2000123023</v>
      </c>
      <c r="N281" s="25" t="s">
        <v>1069</v>
      </c>
      <c r="O281" s="25" t="s">
        <v>271</v>
      </c>
      <c r="P281" s="26">
        <v>25</v>
      </c>
      <c r="Q281" s="25" t="s">
        <v>270</v>
      </c>
      <c r="R281" s="25" t="s">
        <v>949</v>
      </c>
      <c r="S281" s="25" t="s">
        <v>177</v>
      </c>
      <c r="T281" s="25" t="s">
        <v>176</v>
      </c>
      <c r="U281" s="25" t="s">
        <v>175</v>
      </c>
    </row>
    <row r="282" spans="1:21" x14ac:dyDescent="0.2">
      <c r="A282" s="28"/>
      <c r="B282" s="25" t="s">
        <v>1089</v>
      </c>
      <c r="C282" s="25" t="s">
        <v>1089</v>
      </c>
      <c r="D282" s="25" t="s">
        <v>1077</v>
      </c>
      <c r="E282" s="25" t="s">
        <v>185</v>
      </c>
      <c r="F282" s="25" t="s">
        <v>1078</v>
      </c>
      <c r="G282" s="25" t="s">
        <v>419</v>
      </c>
      <c r="H282" s="25" t="s">
        <v>235</v>
      </c>
      <c r="I282" s="27">
        <v>43585</v>
      </c>
      <c r="K282" s="27">
        <v>43585</v>
      </c>
      <c r="L282" s="26">
        <v>276870</v>
      </c>
      <c r="M282" s="25">
        <v>2000122659</v>
      </c>
      <c r="O282" s="25" t="s">
        <v>271</v>
      </c>
      <c r="P282" s="26">
        <v>0</v>
      </c>
      <c r="Q282" s="25" t="s">
        <v>263</v>
      </c>
      <c r="R282" s="25" t="s">
        <v>1089</v>
      </c>
      <c r="S282" s="25" t="s">
        <v>177</v>
      </c>
      <c r="T282" s="25" t="s">
        <v>176</v>
      </c>
      <c r="U282" s="25" t="s">
        <v>175</v>
      </c>
    </row>
    <row r="283" spans="1:21" x14ac:dyDescent="0.2">
      <c r="A283" s="28"/>
      <c r="B283" s="25" t="s">
        <v>1089</v>
      </c>
      <c r="C283" s="25" t="s">
        <v>1089</v>
      </c>
      <c r="D283" s="25" t="s">
        <v>1077</v>
      </c>
      <c r="E283" s="25" t="s">
        <v>185</v>
      </c>
      <c r="F283" s="25" t="s">
        <v>1078</v>
      </c>
      <c r="G283" s="25" t="s">
        <v>419</v>
      </c>
      <c r="H283" s="25" t="s">
        <v>726</v>
      </c>
      <c r="I283" s="27">
        <v>43585</v>
      </c>
      <c r="K283" s="27">
        <v>43585</v>
      </c>
      <c r="L283" s="26">
        <v>-276870</v>
      </c>
      <c r="M283" s="25">
        <v>2000122659</v>
      </c>
      <c r="O283" s="25" t="s">
        <v>180</v>
      </c>
      <c r="P283" s="26">
        <v>0</v>
      </c>
      <c r="Q283" s="25" t="s">
        <v>263</v>
      </c>
      <c r="R283" s="25" t="s">
        <v>1089</v>
      </c>
      <c r="S283" s="25" t="s">
        <v>177</v>
      </c>
      <c r="T283" s="25" t="s">
        <v>176</v>
      </c>
      <c r="U283" s="25" t="s">
        <v>175</v>
      </c>
    </row>
    <row r="284" spans="1:21" x14ac:dyDescent="0.2">
      <c r="A284" s="28"/>
      <c r="B284" s="25" t="s">
        <v>1088</v>
      </c>
      <c r="C284" s="25">
        <v>13845060</v>
      </c>
      <c r="D284" s="25" t="s">
        <v>1084</v>
      </c>
      <c r="E284" s="25" t="s">
        <v>185</v>
      </c>
      <c r="F284" s="25" t="s">
        <v>1087</v>
      </c>
      <c r="G284" s="25" t="s">
        <v>183</v>
      </c>
      <c r="H284" s="25" t="s">
        <v>235</v>
      </c>
      <c r="I284" s="27">
        <v>43513</v>
      </c>
      <c r="K284" s="27">
        <v>43531</v>
      </c>
      <c r="L284" s="26">
        <v>-55663</v>
      </c>
      <c r="M284" s="25">
        <v>2000122659</v>
      </c>
      <c r="N284" s="25" t="s">
        <v>1086</v>
      </c>
      <c r="O284" s="25" t="s">
        <v>180</v>
      </c>
      <c r="P284" s="26">
        <v>24</v>
      </c>
      <c r="Q284" s="25" t="s">
        <v>263</v>
      </c>
      <c r="R284" s="25" t="s">
        <v>228</v>
      </c>
      <c r="S284" s="25" t="s">
        <v>177</v>
      </c>
      <c r="T284" s="25" t="s">
        <v>176</v>
      </c>
      <c r="U284" s="25" t="s">
        <v>175</v>
      </c>
    </row>
    <row r="285" spans="1:21" x14ac:dyDescent="0.2">
      <c r="A285" s="28"/>
      <c r="B285" s="25" t="s">
        <v>1085</v>
      </c>
      <c r="C285" s="25">
        <v>13851659</v>
      </c>
      <c r="D285" s="25" t="s">
        <v>1084</v>
      </c>
      <c r="E285" s="25" t="s">
        <v>185</v>
      </c>
      <c r="F285" s="25" t="s">
        <v>1083</v>
      </c>
      <c r="G285" s="25" t="s">
        <v>183</v>
      </c>
      <c r="H285" s="25" t="s">
        <v>1082</v>
      </c>
      <c r="I285" s="27">
        <v>43520</v>
      </c>
      <c r="K285" s="27">
        <v>43531</v>
      </c>
      <c r="L285" s="26">
        <v>-221207</v>
      </c>
      <c r="M285" s="25">
        <v>2000122659</v>
      </c>
      <c r="N285" s="25" t="s">
        <v>1081</v>
      </c>
      <c r="O285" s="25" t="s">
        <v>180</v>
      </c>
      <c r="P285" s="26">
        <v>24</v>
      </c>
      <c r="Q285" s="25" t="s">
        <v>263</v>
      </c>
      <c r="R285" s="25" t="s">
        <v>228</v>
      </c>
      <c r="S285" s="25" t="s">
        <v>177</v>
      </c>
      <c r="T285" s="25" t="s">
        <v>176</v>
      </c>
      <c r="U285" s="25" t="s">
        <v>175</v>
      </c>
    </row>
    <row r="286" spans="1:21" x14ac:dyDescent="0.2">
      <c r="A286" s="28"/>
      <c r="B286" s="25" t="s">
        <v>1080</v>
      </c>
      <c r="C286" s="25" t="s">
        <v>1080</v>
      </c>
      <c r="D286" s="25" t="s">
        <v>724</v>
      </c>
      <c r="E286" s="25" t="s">
        <v>185</v>
      </c>
      <c r="F286" s="25" t="s">
        <v>1079</v>
      </c>
      <c r="G286" s="25" t="s">
        <v>276</v>
      </c>
      <c r="H286" s="25" t="s">
        <v>726</v>
      </c>
      <c r="I286" s="27">
        <v>43560</v>
      </c>
      <c r="K286" s="27">
        <v>43560</v>
      </c>
      <c r="L286" s="26">
        <v>276870</v>
      </c>
      <c r="M286" s="25">
        <v>2000122659</v>
      </c>
      <c r="N286" s="25" t="s">
        <v>1069</v>
      </c>
      <c r="O286" s="25" t="s">
        <v>271</v>
      </c>
      <c r="P286" s="26">
        <v>25</v>
      </c>
      <c r="Q286" s="25" t="s">
        <v>270</v>
      </c>
      <c r="R286" s="25" t="s">
        <v>881</v>
      </c>
      <c r="S286" s="25" t="s">
        <v>177</v>
      </c>
      <c r="T286" s="25" t="s">
        <v>176</v>
      </c>
      <c r="U286" s="25" t="s">
        <v>175</v>
      </c>
    </row>
    <row r="287" spans="1:21" x14ac:dyDescent="0.2">
      <c r="A287" s="28"/>
      <c r="D287" s="25" t="s">
        <v>1101</v>
      </c>
      <c r="E287" s="25" t="s">
        <v>185</v>
      </c>
      <c r="F287" s="25" t="s">
        <v>1091</v>
      </c>
      <c r="G287" s="25" t="s">
        <v>419</v>
      </c>
      <c r="H287" s="25" t="s">
        <v>587</v>
      </c>
      <c r="I287" s="27">
        <v>43560</v>
      </c>
      <c r="K287" s="27">
        <v>43560</v>
      </c>
      <c r="L287" s="26">
        <v>55331</v>
      </c>
      <c r="M287" s="25">
        <v>2000121669</v>
      </c>
      <c r="N287" s="25" t="s">
        <v>417</v>
      </c>
      <c r="O287" s="25" t="s">
        <v>271</v>
      </c>
      <c r="P287" s="26">
        <v>0</v>
      </c>
      <c r="Q287" s="25" t="s">
        <v>1096</v>
      </c>
      <c r="R287" s="25" t="s">
        <v>417</v>
      </c>
      <c r="S287" s="25" t="s">
        <v>177</v>
      </c>
      <c r="T287" s="25" t="s">
        <v>176</v>
      </c>
      <c r="U287" s="25" t="s">
        <v>175</v>
      </c>
    </row>
    <row r="288" spans="1:21" x14ac:dyDescent="0.2">
      <c r="A288" s="28"/>
      <c r="D288" s="25" t="s">
        <v>1101</v>
      </c>
      <c r="E288" s="25" t="s">
        <v>185</v>
      </c>
      <c r="F288" s="25" t="s">
        <v>1091</v>
      </c>
      <c r="G288" s="25" t="s">
        <v>419</v>
      </c>
      <c r="H288" s="25" t="s">
        <v>1092</v>
      </c>
      <c r="I288" s="27">
        <v>43560</v>
      </c>
      <c r="K288" s="27">
        <v>43560</v>
      </c>
      <c r="L288" s="26">
        <v>-55331</v>
      </c>
      <c r="M288" s="25">
        <v>2000121669</v>
      </c>
      <c r="N288" s="25" t="s">
        <v>417</v>
      </c>
      <c r="O288" s="25" t="s">
        <v>180</v>
      </c>
      <c r="P288" s="26">
        <v>0</v>
      </c>
      <c r="Q288" s="25" t="s">
        <v>1096</v>
      </c>
      <c r="R288" s="25" t="s">
        <v>417</v>
      </c>
      <c r="S288" s="25" t="s">
        <v>177</v>
      </c>
      <c r="T288" s="25" t="s">
        <v>176</v>
      </c>
      <c r="U288" s="25" t="s">
        <v>175</v>
      </c>
    </row>
    <row r="289" spans="1:21" x14ac:dyDescent="0.2">
      <c r="A289" s="28"/>
      <c r="B289" s="25" t="s">
        <v>1100</v>
      </c>
      <c r="C289" s="25">
        <v>13856064</v>
      </c>
      <c r="D289" s="25" t="s">
        <v>1099</v>
      </c>
      <c r="E289" s="25" t="s">
        <v>185</v>
      </c>
      <c r="F289" s="25" t="s">
        <v>1098</v>
      </c>
      <c r="G289" s="25" t="s">
        <v>183</v>
      </c>
      <c r="H289" s="25" t="s">
        <v>587</v>
      </c>
      <c r="I289" s="27">
        <v>43523</v>
      </c>
      <c r="K289" s="27">
        <v>43531</v>
      </c>
      <c r="L289" s="26">
        <v>-55331</v>
      </c>
      <c r="M289" s="25">
        <v>2000121669</v>
      </c>
      <c r="N289" s="25" t="s">
        <v>1097</v>
      </c>
      <c r="O289" s="25" t="s">
        <v>180</v>
      </c>
      <c r="P289" s="26">
        <v>-1</v>
      </c>
      <c r="Q289" s="25" t="s">
        <v>1096</v>
      </c>
      <c r="R289" s="25" t="s">
        <v>178</v>
      </c>
      <c r="S289" s="25" t="s">
        <v>177</v>
      </c>
      <c r="T289" s="25" t="s">
        <v>176</v>
      </c>
      <c r="U289" s="25" t="s">
        <v>175</v>
      </c>
    </row>
    <row r="290" spans="1:21" x14ac:dyDescent="0.2">
      <c r="A290" s="28"/>
      <c r="B290" s="25" t="s">
        <v>1095</v>
      </c>
      <c r="C290" s="25" t="s">
        <v>1095</v>
      </c>
      <c r="D290" s="25" t="s">
        <v>1094</v>
      </c>
      <c r="E290" s="25" t="s">
        <v>185</v>
      </c>
      <c r="F290" s="25" t="s">
        <v>1093</v>
      </c>
      <c r="G290" s="25" t="s">
        <v>276</v>
      </c>
      <c r="H290" s="25" t="s">
        <v>1092</v>
      </c>
      <c r="I290" s="27">
        <v>43560</v>
      </c>
      <c r="K290" s="27">
        <v>43560</v>
      </c>
      <c r="L290" s="26">
        <v>55331</v>
      </c>
      <c r="M290" s="25">
        <v>2000121669</v>
      </c>
      <c r="N290" s="25" t="s">
        <v>1069</v>
      </c>
      <c r="O290" s="25" t="s">
        <v>271</v>
      </c>
      <c r="P290" s="26">
        <v>0</v>
      </c>
      <c r="Q290" s="25" t="s">
        <v>270</v>
      </c>
      <c r="R290" s="25" t="s">
        <v>1090</v>
      </c>
      <c r="S290" s="25" t="s">
        <v>177</v>
      </c>
      <c r="T290" s="25" t="s">
        <v>176</v>
      </c>
      <c r="U290" s="25" t="s">
        <v>175</v>
      </c>
    </row>
    <row r="291" spans="1:21" x14ac:dyDescent="0.2">
      <c r="A291" s="28"/>
      <c r="B291" s="25" t="s">
        <v>799</v>
      </c>
      <c r="C291" s="25" t="s">
        <v>799</v>
      </c>
      <c r="D291" s="25" t="s">
        <v>1101</v>
      </c>
      <c r="E291" s="25" t="s">
        <v>185</v>
      </c>
      <c r="F291" s="25" t="s">
        <v>1102</v>
      </c>
      <c r="G291" s="25" t="s">
        <v>419</v>
      </c>
      <c r="H291" s="25" t="s">
        <v>1106</v>
      </c>
      <c r="I291" s="27">
        <v>43560</v>
      </c>
      <c r="K291" s="27">
        <v>43560</v>
      </c>
      <c r="L291" s="26">
        <v>121534</v>
      </c>
      <c r="M291" s="25">
        <v>2000121623</v>
      </c>
      <c r="O291" s="25" t="s">
        <v>271</v>
      </c>
      <c r="P291" s="26">
        <v>0</v>
      </c>
      <c r="Q291" s="25" t="s">
        <v>797</v>
      </c>
      <c r="R291" s="25" t="s">
        <v>1113</v>
      </c>
      <c r="S291" s="25" t="s">
        <v>177</v>
      </c>
      <c r="T291" s="25" t="s">
        <v>176</v>
      </c>
      <c r="U291" s="25" t="s">
        <v>175</v>
      </c>
    </row>
    <row r="292" spans="1:21" x14ac:dyDescent="0.2">
      <c r="A292" s="28"/>
      <c r="B292" s="25" t="s">
        <v>799</v>
      </c>
      <c r="C292" s="25" t="s">
        <v>799</v>
      </c>
      <c r="D292" s="25" t="s">
        <v>1101</v>
      </c>
      <c r="E292" s="25" t="s">
        <v>185</v>
      </c>
      <c r="F292" s="25" t="s">
        <v>1102</v>
      </c>
      <c r="G292" s="25" t="s">
        <v>419</v>
      </c>
      <c r="H292" s="25" t="s">
        <v>793</v>
      </c>
      <c r="I292" s="27">
        <v>43560</v>
      </c>
      <c r="K292" s="27">
        <v>43560</v>
      </c>
      <c r="L292" s="26">
        <v>-121534</v>
      </c>
      <c r="M292" s="25">
        <v>2000121623</v>
      </c>
      <c r="O292" s="25" t="s">
        <v>180</v>
      </c>
      <c r="P292" s="26">
        <v>0</v>
      </c>
      <c r="Q292" s="25" t="s">
        <v>797</v>
      </c>
      <c r="R292" s="25" t="s">
        <v>1113</v>
      </c>
      <c r="S292" s="25" t="s">
        <v>177</v>
      </c>
      <c r="T292" s="25" t="s">
        <v>176</v>
      </c>
      <c r="U292" s="25" t="s">
        <v>175</v>
      </c>
    </row>
    <row r="293" spans="1:21" x14ac:dyDescent="0.2">
      <c r="A293" s="28"/>
      <c r="B293" s="25" t="s">
        <v>1112</v>
      </c>
      <c r="C293" s="25">
        <v>13845086</v>
      </c>
      <c r="D293" s="25" t="s">
        <v>1111</v>
      </c>
      <c r="E293" s="25" t="s">
        <v>185</v>
      </c>
      <c r="F293" s="25" t="s">
        <v>1110</v>
      </c>
      <c r="G293" s="25" t="s">
        <v>183</v>
      </c>
      <c r="H293" s="25" t="s">
        <v>995</v>
      </c>
      <c r="I293" s="27">
        <v>43513</v>
      </c>
      <c r="K293" s="27">
        <v>43531</v>
      </c>
      <c r="L293" s="26">
        <v>-61228</v>
      </c>
      <c r="M293" s="25">
        <v>2000121623</v>
      </c>
      <c r="N293" s="25" t="s">
        <v>1063</v>
      </c>
      <c r="O293" s="25" t="s">
        <v>180</v>
      </c>
      <c r="P293" s="26">
        <v>-1</v>
      </c>
      <c r="Q293" s="25" t="s">
        <v>797</v>
      </c>
      <c r="R293" s="25" t="s">
        <v>453</v>
      </c>
      <c r="S293" s="25" t="s">
        <v>177</v>
      </c>
      <c r="T293" s="25" t="s">
        <v>176</v>
      </c>
      <c r="U293" s="25" t="s">
        <v>175</v>
      </c>
    </row>
    <row r="294" spans="1:21" x14ac:dyDescent="0.2">
      <c r="A294" s="28"/>
      <c r="B294" s="25" t="s">
        <v>1109</v>
      </c>
      <c r="C294" s="25">
        <v>13838398</v>
      </c>
      <c r="D294" s="25" t="s">
        <v>1108</v>
      </c>
      <c r="E294" s="25" t="s">
        <v>185</v>
      </c>
      <c r="F294" s="25" t="s">
        <v>1107</v>
      </c>
      <c r="G294" s="25" t="s">
        <v>183</v>
      </c>
      <c r="H294" s="25" t="s">
        <v>1106</v>
      </c>
      <c r="I294" s="27">
        <v>43505</v>
      </c>
      <c r="K294" s="27">
        <v>43531</v>
      </c>
      <c r="L294" s="26">
        <v>-60306</v>
      </c>
      <c r="M294" s="25">
        <v>2000121623</v>
      </c>
      <c r="N294" s="25" t="s">
        <v>1105</v>
      </c>
      <c r="O294" s="25" t="s">
        <v>180</v>
      </c>
      <c r="P294" s="26">
        <v>-1</v>
      </c>
      <c r="Q294" s="25" t="s">
        <v>797</v>
      </c>
      <c r="R294" s="25" t="s">
        <v>453</v>
      </c>
      <c r="S294" s="25" t="s">
        <v>177</v>
      </c>
      <c r="T294" s="25" t="s">
        <v>176</v>
      </c>
      <c r="U294" s="25" t="s">
        <v>175</v>
      </c>
    </row>
    <row r="295" spans="1:21" x14ac:dyDescent="0.2">
      <c r="A295" s="28"/>
      <c r="B295" s="25" t="s">
        <v>1104</v>
      </c>
      <c r="C295" s="25" t="s">
        <v>1104</v>
      </c>
      <c r="D295" s="25" t="s">
        <v>791</v>
      </c>
      <c r="E295" s="25" t="s">
        <v>185</v>
      </c>
      <c r="F295" s="25" t="s">
        <v>1103</v>
      </c>
      <c r="G295" s="25" t="s">
        <v>276</v>
      </c>
      <c r="H295" s="25" t="s">
        <v>793</v>
      </c>
      <c r="I295" s="27">
        <v>43560</v>
      </c>
      <c r="K295" s="27">
        <v>43560</v>
      </c>
      <c r="L295" s="26">
        <v>121534</v>
      </c>
      <c r="M295" s="25">
        <v>2000121623</v>
      </c>
      <c r="N295" s="25" t="s">
        <v>1069</v>
      </c>
      <c r="O295" s="25" t="s">
        <v>271</v>
      </c>
      <c r="P295" s="26">
        <v>0</v>
      </c>
      <c r="Q295" s="25" t="s">
        <v>270</v>
      </c>
      <c r="R295" s="25" t="s">
        <v>1059</v>
      </c>
      <c r="S295" s="25" t="s">
        <v>177</v>
      </c>
      <c r="T295" s="25" t="s">
        <v>176</v>
      </c>
      <c r="U295" s="25" t="s">
        <v>175</v>
      </c>
    </row>
    <row r="296" spans="1:21" x14ac:dyDescent="0.2">
      <c r="A296" s="28"/>
      <c r="B296" s="25" t="s">
        <v>1116</v>
      </c>
      <c r="C296" s="25" t="s">
        <v>1116</v>
      </c>
      <c r="D296" s="25" t="s">
        <v>1101</v>
      </c>
      <c r="E296" s="25" t="s">
        <v>185</v>
      </c>
      <c r="F296" s="25" t="s">
        <v>1114</v>
      </c>
      <c r="G296" s="25" t="s">
        <v>419</v>
      </c>
      <c r="H296" s="25" t="s">
        <v>1119</v>
      </c>
      <c r="I296" s="27">
        <v>43560</v>
      </c>
      <c r="K296" s="27">
        <v>43560</v>
      </c>
      <c r="L296" s="26">
        <v>54400</v>
      </c>
      <c r="M296" s="25">
        <v>2000121586</v>
      </c>
      <c r="N296" s="25" t="s">
        <v>417</v>
      </c>
      <c r="O296" s="25" t="s">
        <v>271</v>
      </c>
      <c r="P296" s="26">
        <v>0</v>
      </c>
      <c r="Q296" s="25" t="s">
        <v>1117</v>
      </c>
      <c r="R296" s="25" t="s">
        <v>417</v>
      </c>
      <c r="S296" s="25" t="s">
        <v>177</v>
      </c>
      <c r="T296" s="25" t="s">
        <v>176</v>
      </c>
      <c r="U296" s="25" t="s">
        <v>175</v>
      </c>
    </row>
    <row r="297" spans="1:21" x14ac:dyDescent="0.2">
      <c r="A297" s="28"/>
      <c r="B297" s="25" t="s">
        <v>1116</v>
      </c>
      <c r="C297" s="25" t="s">
        <v>1116</v>
      </c>
      <c r="D297" s="25" t="s">
        <v>1101</v>
      </c>
      <c r="E297" s="25" t="s">
        <v>185</v>
      </c>
      <c r="F297" s="25" t="s">
        <v>1114</v>
      </c>
      <c r="G297" s="25" t="s">
        <v>419</v>
      </c>
      <c r="H297" s="25" t="s">
        <v>783</v>
      </c>
      <c r="I297" s="27">
        <v>43560</v>
      </c>
      <c r="K297" s="27">
        <v>43560</v>
      </c>
      <c r="L297" s="26">
        <v>-54400</v>
      </c>
      <c r="M297" s="25">
        <v>2000121586</v>
      </c>
      <c r="N297" s="25" t="s">
        <v>417</v>
      </c>
      <c r="O297" s="25" t="s">
        <v>180</v>
      </c>
      <c r="P297" s="26">
        <v>0</v>
      </c>
      <c r="Q297" s="25" t="s">
        <v>1117</v>
      </c>
      <c r="R297" s="25" t="s">
        <v>417</v>
      </c>
      <c r="S297" s="25" t="s">
        <v>177</v>
      </c>
      <c r="T297" s="25" t="s">
        <v>176</v>
      </c>
      <c r="U297" s="25" t="s">
        <v>175</v>
      </c>
    </row>
    <row r="298" spans="1:21" x14ac:dyDescent="0.2">
      <c r="A298" s="28"/>
      <c r="B298" s="25" t="s">
        <v>1122</v>
      </c>
      <c r="C298" s="25">
        <v>13835833</v>
      </c>
      <c r="D298" s="25" t="s">
        <v>1121</v>
      </c>
      <c r="E298" s="25" t="s">
        <v>185</v>
      </c>
      <c r="F298" s="25" t="s">
        <v>1120</v>
      </c>
      <c r="G298" s="25" t="s">
        <v>183</v>
      </c>
      <c r="H298" s="25" t="s">
        <v>1119</v>
      </c>
      <c r="I298" s="27">
        <v>43503</v>
      </c>
      <c r="K298" s="27">
        <v>43531</v>
      </c>
      <c r="L298" s="26">
        <v>-54400</v>
      </c>
      <c r="M298" s="25">
        <v>2000121586</v>
      </c>
      <c r="N298" s="25" t="s">
        <v>1118</v>
      </c>
      <c r="O298" s="25" t="s">
        <v>180</v>
      </c>
      <c r="P298" s="26">
        <v>-1</v>
      </c>
      <c r="Q298" s="25" t="s">
        <v>1117</v>
      </c>
      <c r="R298" s="25" t="s">
        <v>572</v>
      </c>
      <c r="S298" s="25" t="s">
        <v>177</v>
      </c>
      <c r="T298" s="25" t="s">
        <v>176</v>
      </c>
      <c r="U298" s="25" t="s">
        <v>175</v>
      </c>
    </row>
    <row r="299" spans="1:21" x14ac:dyDescent="0.2">
      <c r="A299" s="28"/>
      <c r="B299" s="25" t="s">
        <v>1116</v>
      </c>
      <c r="C299" s="25" t="s">
        <v>1116</v>
      </c>
      <c r="D299" s="25" t="s">
        <v>781</v>
      </c>
      <c r="E299" s="25" t="s">
        <v>185</v>
      </c>
      <c r="F299" s="25" t="s">
        <v>1115</v>
      </c>
      <c r="G299" s="25" t="s">
        <v>276</v>
      </c>
      <c r="H299" s="25" t="s">
        <v>783</v>
      </c>
      <c r="I299" s="27">
        <v>43560</v>
      </c>
      <c r="K299" s="27">
        <v>43560</v>
      </c>
      <c r="L299" s="26">
        <v>54400</v>
      </c>
      <c r="M299" s="25">
        <v>2000121586</v>
      </c>
      <c r="N299" s="25" t="s">
        <v>1069</v>
      </c>
      <c r="O299" s="25" t="s">
        <v>271</v>
      </c>
      <c r="P299" s="26">
        <v>0</v>
      </c>
      <c r="Q299" s="25" t="s">
        <v>270</v>
      </c>
      <c r="R299" s="25" t="s">
        <v>910</v>
      </c>
      <c r="S299" s="25" t="s">
        <v>177</v>
      </c>
      <c r="T299" s="25" t="s">
        <v>176</v>
      </c>
      <c r="U299" s="25" t="s">
        <v>175</v>
      </c>
    </row>
    <row r="300" spans="1:21" x14ac:dyDescent="0.2">
      <c r="A300" s="28"/>
      <c r="B300" s="25" t="s">
        <v>1133</v>
      </c>
      <c r="C300" s="25" t="s">
        <v>1133</v>
      </c>
      <c r="D300" s="25" t="s">
        <v>1101</v>
      </c>
      <c r="E300" s="25" t="s">
        <v>185</v>
      </c>
      <c r="F300" s="25" t="s">
        <v>1123</v>
      </c>
      <c r="G300" s="25" t="s">
        <v>419</v>
      </c>
      <c r="H300" s="25" t="s">
        <v>423</v>
      </c>
      <c r="I300" s="27">
        <v>43560</v>
      </c>
      <c r="K300" s="27">
        <v>43560</v>
      </c>
      <c r="L300" s="26">
        <v>1128796</v>
      </c>
      <c r="M300" s="25">
        <v>2000110784</v>
      </c>
      <c r="N300" s="25" t="s">
        <v>1132</v>
      </c>
      <c r="O300" s="25" t="s">
        <v>271</v>
      </c>
      <c r="P300" s="26">
        <v>0</v>
      </c>
      <c r="Q300" s="25" t="s">
        <v>841</v>
      </c>
      <c r="R300" s="25" t="s">
        <v>1132</v>
      </c>
      <c r="S300" s="25" t="s">
        <v>177</v>
      </c>
      <c r="T300" s="25" t="s">
        <v>176</v>
      </c>
      <c r="U300" s="25" t="s">
        <v>175</v>
      </c>
    </row>
    <row r="301" spans="1:21" x14ac:dyDescent="0.2">
      <c r="A301" s="28"/>
      <c r="B301" s="25" t="s">
        <v>1133</v>
      </c>
      <c r="C301" s="25" t="s">
        <v>1133</v>
      </c>
      <c r="D301" s="25" t="s">
        <v>1101</v>
      </c>
      <c r="E301" s="25" t="s">
        <v>185</v>
      </c>
      <c r="F301" s="25" t="s">
        <v>1123</v>
      </c>
      <c r="G301" s="25" t="s">
        <v>419</v>
      </c>
      <c r="H301" s="25" t="s">
        <v>275</v>
      </c>
      <c r="I301" s="27">
        <v>43560</v>
      </c>
      <c r="K301" s="27">
        <v>43560</v>
      </c>
      <c r="L301" s="26">
        <v>-1128796</v>
      </c>
      <c r="M301" s="25">
        <v>2000110784</v>
      </c>
      <c r="N301" s="25" t="s">
        <v>1132</v>
      </c>
      <c r="O301" s="25" t="s">
        <v>180</v>
      </c>
      <c r="P301" s="26">
        <v>0</v>
      </c>
      <c r="Q301" s="25" t="s">
        <v>841</v>
      </c>
      <c r="R301" s="25" t="s">
        <v>1132</v>
      </c>
      <c r="S301" s="25" t="s">
        <v>177</v>
      </c>
      <c r="T301" s="25" t="s">
        <v>176</v>
      </c>
      <c r="U301" s="25" t="s">
        <v>175</v>
      </c>
    </row>
    <row r="302" spans="1:21" x14ac:dyDescent="0.2">
      <c r="A302" s="28"/>
      <c r="B302" s="25" t="s">
        <v>1131</v>
      </c>
      <c r="C302" s="25">
        <v>13860581</v>
      </c>
      <c r="D302" s="25" t="s">
        <v>1128</v>
      </c>
      <c r="E302" s="25" t="s">
        <v>185</v>
      </c>
      <c r="F302" s="25" t="s">
        <v>1130</v>
      </c>
      <c r="G302" s="25" t="s">
        <v>183</v>
      </c>
      <c r="H302" s="25" t="s">
        <v>423</v>
      </c>
      <c r="I302" s="27">
        <v>43528</v>
      </c>
      <c r="K302" s="27">
        <v>43531</v>
      </c>
      <c r="L302" s="26">
        <v>-925372</v>
      </c>
      <c r="M302" s="25">
        <v>2000110784</v>
      </c>
      <c r="N302" s="25" t="s">
        <v>1126</v>
      </c>
      <c r="O302" s="25" t="s">
        <v>180</v>
      </c>
      <c r="P302" s="26">
        <v>-1</v>
      </c>
      <c r="Q302" s="25" t="s">
        <v>841</v>
      </c>
      <c r="R302" s="25" t="s">
        <v>188</v>
      </c>
      <c r="S302" s="25" t="s">
        <v>177</v>
      </c>
      <c r="T302" s="25" t="s">
        <v>176</v>
      </c>
      <c r="U302" s="25" t="s">
        <v>175</v>
      </c>
    </row>
    <row r="303" spans="1:21" x14ac:dyDescent="0.2">
      <c r="A303" s="28"/>
      <c r="B303" s="25" t="s">
        <v>1129</v>
      </c>
      <c r="C303" s="25">
        <v>13845080</v>
      </c>
      <c r="D303" s="25" t="s">
        <v>1128</v>
      </c>
      <c r="E303" s="25" t="s">
        <v>185</v>
      </c>
      <c r="F303" s="25" t="s">
        <v>1127</v>
      </c>
      <c r="G303" s="25" t="s">
        <v>183</v>
      </c>
      <c r="H303" s="25" t="s">
        <v>423</v>
      </c>
      <c r="I303" s="27">
        <v>43513</v>
      </c>
      <c r="K303" s="27">
        <v>43531</v>
      </c>
      <c r="L303" s="26">
        <v>-203424</v>
      </c>
      <c r="M303" s="25">
        <v>2000110784</v>
      </c>
      <c r="N303" s="25" t="s">
        <v>1126</v>
      </c>
      <c r="O303" s="25" t="s">
        <v>180</v>
      </c>
      <c r="P303" s="26">
        <v>-1</v>
      </c>
      <c r="Q303" s="25" t="s">
        <v>841</v>
      </c>
      <c r="R303" s="25" t="s">
        <v>188</v>
      </c>
      <c r="S303" s="25" t="s">
        <v>177</v>
      </c>
      <c r="T303" s="25" t="s">
        <v>176</v>
      </c>
      <c r="U303" s="25" t="s">
        <v>175</v>
      </c>
    </row>
    <row r="304" spans="1:21" x14ac:dyDescent="0.2">
      <c r="A304" s="28"/>
      <c r="B304" s="25" t="s">
        <v>1125</v>
      </c>
      <c r="C304" s="25" t="s">
        <v>1125</v>
      </c>
      <c r="D304" s="25" t="s">
        <v>279</v>
      </c>
      <c r="E304" s="25" t="s">
        <v>185</v>
      </c>
      <c r="F304" s="25" t="s">
        <v>1124</v>
      </c>
      <c r="G304" s="25" t="s">
        <v>276</v>
      </c>
      <c r="H304" s="25" t="s">
        <v>275</v>
      </c>
      <c r="I304" s="27">
        <v>43560</v>
      </c>
      <c r="K304" s="27">
        <v>43560</v>
      </c>
      <c r="L304" s="26">
        <v>1128796</v>
      </c>
      <c r="M304" s="25">
        <v>2000110784</v>
      </c>
      <c r="N304" s="25" t="s">
        <v>1069</v>
      </c>
      <c r="O304" s="25" t="s">
        <v>271</v>
      </c>
      <c r="P304" s="26">
        <v>0</v>
      </c>
      <c r="Q304" s="25" t="s">
        <v>270</v>
      </c>
      <c r="R304" s="25" t="s">
        <v>269</v>
      </c>
      <c r="S304" s="25" t="s">
        <v>177</v>
      </c>
      <c r="T304" s="25" t="s">
        <v>176</v>
      </c>
      <c r="U304" s="25" t="s">
        <v>175</v>
      </c>
    </row>
    <row r="305" spans="1:21" x14ac:dyDescent="0.2">
      <c r="A305" s="28"/>
      <c r="B305" s="25" t="s">
        <v>1137</v>
      </c>
      <c r="C305" s="25" t="s">
        <v>1137</v>
      </c>
      <c r="D305" s="25" t="s">
        <v>1158</v>
      </c>
      <c r="E305" s="25" t="s">
        <v>185</v>
      </c>
      <c r="F305" s="25" t="s">
        <v>1135</v>
      </c>
      <c r="G305" s="25" t="s">
        <v>419</v>
      </c>
      <c r="H305" s="25" t="s">
        <v>678</v>
      </c>
      <c r="I305" s="27">
        <v>43531</v>
      </c>
      <c r="K305" s="27">
        <v>43555</v>
      </c>
      <c r="L305" s="26">
        <v>0</v>
      </c>
      <c r="M305" s="25">
        <v>2000108759</v>
      </c>
      <c r="N305" s="25" t="s">
        <v>417</v>
      </c>
      <c r="O305" s="25" t="s">
        <v>271</v>
      </c>
      <c r="P305" s="26">
        <v>26</v>
      </c>
      <c r="Q305" s="25" t="s">
        <v>179</v>
      </c>
      <c r="R305" s="25" t="s">
        <v>417</v>
      </c>
      <c r="S305" s="25" t="s">
        <v>177</v>
      </c>
      <c r="T305" s="25" t="s">
        <v>176</v>
      </c>
      <c r="U305" s="25" t="s">
        <v>175</v>
      </c>
    </row>
    <row r="306" spans="1:21" x14ac:dyDescent="0.2">
      <c r="A306" s="28"/>
      <c r="B306" s="25" t="s">
        <v>1157</v>
      </c>
      <c r="C306" s="25">
        <v>13783801</v>
      </c>
      <c r="D306" s="25" t="s">
        <v>1150</v>
      </c>
      <c r="E306" s="25" t="s">
        <v>185</v>
      </c>
      <c r="F306" s="25" t="s">
        <v>1156</v>
      </c>
      <c r="G306" s="25" t="s">
        <v>183</v>
      </c>
      <c r="H306" s="25" t="s">
        <v>240</v>
      </c>
      <c r="I306" s="27">
        <v>43468</v>
      </c>
      <c r="K306" s="27">
        <v>43546</v>
      </c>
      <c r="L306" s="26">
        <v>-68400</v>
      </c>
      <c r="M306" s="25">
        <v>2000108759</v>
      </c>
      <c r="N306" s="25" t="s">
        <v>1139</v>
      </c>
      <c r="O306" s="25" t="s">
        <v>180</v>
      </c>
      <c r="P306" s="26">
        <v>25</v>
      </c>
      <c r="Q306" s="25" t="s">
        <v>179</v>
      </c>
      <c r="R306" s="25" t="s">
        <v>427</v>
      </c>
      <c r="S306" s="25" t="s">
        <v>177</v>
      </c>
      <c r="T306" s="25" t="s">
        <v>176</v>
      </c>
      <c r="U306" s="25" t="s">
        <v>175</v>
      </c>
    </row>
    <row r="307" spans="1:21" x14ac:dyDescent="0.2">
      <c r="A307" s="28"/>
      <c r="B307" s="25" t="s">
        <v>1155</v>
      </c>
      <c r="C307" s="25">
        <v>13785262</v>
      </c>
      <c r="D307" s="25" t="s">
        <v>1150</v>
      </c>
      <c r="E307" s="25" t="s">
        <v>185</v>
      </c>
      <c r="F307" s="25" t="s">
        <v>1154</v>
      </c>
      <c r="G307" s="25" t="s">
        <v>183</v>
      </c>
      <c r="H307" s="25" t="s">
        <v>240</v>
      </c>
      <c r="I307" s="27">
        <v>43468</v>
      </c>
      <c r="K307" s="27">
        <v>43546</v>
      </c>
      <c r="L307" s="26">
        <v>-248100</v>
      </c>
      <c r="M307" s="25">
        <v>2000108759</v>
      </c>
      <c r="N307" s="25" t="s">
        <v>1139</v>
      </c>
      <c r="O307" s="25" t="s">
        <v>180</v>
      </c>
      <c r="P307" s="26">
        <v>25</v>
      </c>
      <c r="Q307" s="25" t="s">
        <v>179</v>
      </c>
      <c r="R307" s="25" t="s">
        <v>427</v>
      </c>
      <c r="S307" s="25" t="s">
        <v>177</v>
      </c>
      <c r="T307" s="25" t="s">
        <v>176</v>
      </c>
      <c r="U307" s="25" t="s">
        <v>175</v>
      </c>
    </row>
    <row r="308" spans="1:21" x14ac:dyDescent="0.2">
      <c r="A308" s="28"/>
      <c r="B308" s="25" t="s">
        <v>1153</v>
      </c>
      <c r="C308" s="25">
        <v>13788973</v>
      </c>
      <c r="D308" s="25" t="s">
        <v>1150</v>
      </c>
      <c r="E308" s="25" t="s">
        <v>185</v>
      </c>
      <c r="F308" s="25" t="s">
        <v>1152</v>
      </c>
      <c r="G308" s="25" t="s">
        <v>183</v>
      </c>
      <c r="H308" s="25" t="s">
        <v>240</v>
      </c>
      <c r="I308" s="27">
        <v>43468</v>
      </c>
      <c r="K308" s="27">
        <v>43546</v>
      </c>
      <c r="L308" s="26">
        <v>-45100</v>
      </c>
      <c r="M308" s="25">
        <v>2000108759</v>
      </c>
      <c r="N308" s="25" t="s">
        <v>1139</v>
      </c>
      <c r="O308" s="25" t="s">
        <v>180</v>
      </c>
      <c r="P308" s="26">
        <v>25</v>
      </c>
      <c r="Q308" s="25" t="s">
        <v>179</v>
      </c>
      <c r="R308" s="25" t="s">
        <v>427</v>
      </c>
      <c r="S308" s="25" t="s">
        <v>177</v>
      </c>
      <c r="T308" s="25" t="s">
        <v>176</v>
      </c>
      <c r="U308" s="25" t="s">
        <v>175</v>
      </c>
    </row>
    <row r="309" spans="1:21" x14ac:dyDescent="0.2">
      <c r="A309" s="28"/>
      <c r="B309" s="25" t="s">
        <v>1151</v>
      </c>
      <c r="C309" s="25">
        <v>13801785</v>
      </c>
      <c r="D309" s="25" t="s">
        <v>1150</v>
      </c>
      <c r="E309" s="25" t="s">
        <v>185</v>
      </c>
      <c r="F309" s="25" t="s">
        <v>1149</v>
      </c>
      <c r="G309" s="25" t="s">
        <v>183</v>
      </c>
      <c r="H309" s="25" t="s">
        <v>240</v>
      </c>
      <c r="I309" s="27">
        <v>43468</v>
      </c>
      <c r="K309" s="27">
        <v>43546</v>
      </c>
      <c r="L309" s="26">
        <v>-113100</v>
      </c>
      <c r="M309" s="25">
        <v>2000108759</v>
      </c>
      <c r="N309" s="25" t="s">
        <v>1139</v>
      </c>
      <c r="O309" s="25" t="s">
        <v>180</v>
      </c>
      <c r="P309" s="26">
        <v>25</v>
      </c>
      <c r="Q309" s="25" t="s">
        <v>179</v>
      </c>
      <c r="R309" s="25" t="s">
        <v>427</v>
      </c>
      <c r="S309" s="25" t="s">
        <v>177</v>
      </c>
      <c r="T309" s="25" t="s">
        <v>176</v>
      </c>
      <c r="U309" s="25" t="s">
        <v>175</v>
      </c>
    </row>
    <row r="310" spans="1:21" x14ac:dyDescent="0.2">
      <c r="A310" s="28"/>
      <c r="B310" s="25" t="s">
        <v>1148</v>
      </c>
      <c r="C310" s="25">
        <v>13749720</v>
      </c>
      <c r="D310" s="25" t="s">
        <v>1141</v>
      </c>
      <c r="E310" s="25" t="s">
        <v>185</v>
      </c>
      <c r="F310" s="25" t="s">
        <v>1147</v>
      </c>
      <c r="G310" s="25" t="s">
        <v>183</v>
      </c>
      <c r="H310" s="25" t="s">
        <v>240</v>
      </c>
      <c r="I310" s="27">
        <v>43467</v>
      </c>
      <c r="K310" s="27">
        <v>43546</v>
      </c>
      <c r="L310" s="26">
        <v>-453500</v>
      </c>
      <c r="M310" s="25">
        <v>2000108759</v>
      </c>
      <c r="N310" s="25" t="s">
        <v>1139</v>
      </c>
      <c r="O310" s="25" t="s">
        <v>180</v>
      </c>
      <c r="P310" s="26">
        <v>25</v>
      </c>
      <c r="Q310" s="25" t="s">
        <v>179</v>
      </c>
      <c r="R310" s="25" t="s">
        <v>427</v>
      </c>
      <c r="S310" s="25" t="s">
        <v>177</v>
      </c>
      <c r="T310" s="25" t="s">
        <v>176</v>
      </c>
      <c r="U310" s="25" t="s">
        <v>175</v>
      </c>
    </row>
    <row r="311" spans="1:21" x14ac:dyDescent="0.2">
      <c r="A311" s="28"/>
      <c r="B311" s="25" t="s">
        <v>1146</v>
      </c>
      <c r="C311" s="25">
        <v>13757960</v>
      </c>
      <c r="D311" s="25" t="s">
        <v>1141</v>
      </c>
      <c r="E311" s="25" t="s">
        <v>185</v>
      </c>
      <c r="F311" s="25" t="s">
        <v>1145</v>
      </c>
      <c r="G311" s="25" t="s">
        <v>183</v>
      </c>
      <c r="H311" s="25" t="s">
        <v>1144</v>
      </c>
      <c r="I311" s="27">
        <v>43467</v>
      </c>
      <c r="K311" s="27">
        <v>43546</v>
      </c>
      <c r="L311" s="26">
        <v>-186278</v>
      </c>
      <c r="M311" s="25">
        <v>2000108759</v>
      </c>
      <c r="N311" s="25" t="s">
        <v>1143</v>
      </c>
      <c r="O311" s="25" t="s">
        <v>180</v>
      </c>
      <c r="P311" s="26">
        <v>25</v>
      </c>
      <c r="Q311" s="25" t="s">
        <v>179</v>
      </c>
      <c r="R311" s="25" t="s">
        <v>427</v>
      </c>
      <c r="S311" s="25" t="s">
        <v>177</v>
      </c>
      <c r="T311" s="25" t="s">
        <v>176</v>
      </c>
      <c r="U311" s="25" t="s">
        <v>175</v>
      </c>
    </row>
    <row r="312" spans="1:21" x14ac:dyDescent="0.2">
      <c r="A312" s="28"/>
      <c r="B312" s="25" t="s">
        <v>1142</v>
      </c>
      <c r="C312" s="25">
        <v>13768505</v>
      </c>
      <c r="D312" s="25" t="s">
        <v>1141</v>
      </c>
      <c r="E312" s="25" t="s">
        <v>185</v>
      </c>
      <c r="F312" s="25" t="s">
        <v>1140</v>
      </c>
      <c r="G312" s="25" t="s">
        <v>183</v>
      </c>
      <c r="H312" s="25" t="s">
        <v>240</v>
      </c>
      <c r="I312" s="27">
        <v>43488</v>
      </c>
      <c r="K312" s="27">
        <v>43546</v>
      </c>
      <c r="L312" s="26">
        <v>-45100</v>
      </c>
      <c r="M312" s="25">
        <v>2000108759</v>
      </c>
      <c r="N312" s="25" t="s">
        <v>1139</v>
      </c>
      <c r="O312" s="25" t="s">
        <v>180</v>
      </c>
      <c r="P312" s="26">
        <v>25</v>
      </c>
      <c r="Q312" s="25" t="s">
        <v>179</v>
      </c>
      <c r="R312" s="25" t="s">
        <v>427</v>
      </c>
      <c r="S312" s="25" t="s">
        <v>177</v>
      </c>
      <c r="T312" s="25" t="s">
        <v>176</v>
      </c>
      <c r="U312" s="25" t="s">
        <v>175</v>
      </c>
    </row>
    <row r="313" spans="1:21" x14ac:dyDescent="0.2">
      <c r="A313" s="28"/>
      <c r="B313" s="25" t="s">
        <v>1057</v>
      </c>
      <c r="C313" s="25">
        <v>13807965</v>
      </c>
      <c r="D313" s="25" t="s">
        <v>1054</v>
      </c>
      <c r="E313" s="25" t="s">
        <v>185</v>
      </c>
      <c r="F313" s="25" t="s">
        <v>1056</v>
      </c>
      <c r="G313" s="25" t="s">
        <v>183</v>
      </c>
      <c r="H313" s="25" t="s">
        <v>240</v>
      </c>
      <c r="I313" s="27">
        <v>43473</v>
      </c>
      <c r="K313" s="27">
        <v>43557</v>
      </c>
      <c r="L313" s="26">
        <v>-39522</v>
      </c>
      <c r="M313" s="25">
        <v>2000108759</v>
      </c>
      <c r="N313" s="25" t="s">
        <v>1138</v>
      </c>
      <c r="O313" s="25" t="s">
        <v>180</v>
      </c>
      <c r="P313" s="26">
        <v>17</v>
      </c>
      <c r="Q313" s="25" t="s">
        <v>179</v>
      </c>
      <c r="R313" s="25" t="s">
        <v>427</v>
      </c>
      <c r="S313" s="25" t="s">
        <v>177</v>
      </c>
      <c r="T313" s="25" t="s">
        <v>176</v>
      </c>
      <c r="U313" s="25" t="s">
        <v>175</v>
      </c>
    </row>
    <row r="314" spans="1:21" x14ac:dyDescent="0.2">
      <c r="A314" s="28"/>
      <c r="B314" s="25" t="s">
        <v>1137</v>
      </c>
      <c r="C314" s="25" t="s">
        <v>1137</v>
      </c>
      <c r="D314" s="25" t="s">
        <v>676</v>
      </c>
      <c r="E314" s="25" t="s">
        <v>185</v>
      </c>
      <c r="F314" s="25" t="s">
        <v>1136</v>
      </c>
      <c r="G314" s="25" t="s">
        <v>276</v>
      </c>
      <c r="H314" s="25" t="s">
        <v>678</v>
      </c>
      <c r="I314" s="27">
        <v>43531</v>
      </c>
      <c r="K314" s="27">
        <v>43531</v>
      </c>
      <c r="L314" s="26">
        <v>1199100</v>
      </c>
      <c r="M314" s="25">
        <v>2000108759</v>
      </c>
      <c r="N314" s="25" t="s">
        <v>1134</v>
      </c>
      <c r="O314" s="25" t="s">
        <v>271</v>
      </c>
      <c r="P314" s="26">
        <v>26</v>
      </c>
      <c r="Q314" s="25" t="s">
        <v>270</v>
      </c>
      <c r="R314" s="25" t="s">
        <v>898</v>
      </c>
      <c r="S314" s="25" t="s">
        <v>177</v>
      </c>
      <c r="T314" s="25" t="s">
        <v>176</v>
      </c>
      <c r="U314" s="25" t="s">
        <v>175</v>
      </c>
    </row>
    <row r="315" spans="1:21" x14ac:dyDescent="0.2">
      <c r="A315" s="28"/>
      <c r="B315" s="25" t="s">
        <v>1161</v>
      </c>
      <c r="C315" s="25" t="s">
        <v>1161</v>
      </c>
      <c r="D315" s="25" t="s">
        <v>1158</v>
      </c>
      <c r="E315" s="25" t="s">
        <v>185</v>
      </c>
      <c r="F315" s="25" t="s">
        <v>1159</v>
      </c>
      <c r="G315" s="25" t="s">
        <v>419</v>
      </c>
      <c r="H315" s="25" t="s">
        <v>927</v>
      </c>
      <c r="I315" s="27">
        <v>43531</v>
      </c>
      <c r="K315" s="27">
        <v>43555</v>
      </c>
      <c r="L315" s="26">
        <v>196707</v>
      </c>
      <c r="M315" s="25">
        <v>2000108757</v>
      </c>
      <c r="N315" s="25" t="s">
        <v>417</v>
      </c>
      <c r="O315" s="25" t="s">
        <v>271</v>
      </c>
      <c r="P315" s="26">
        <v>24</v>
      </c>
      <c r="Q315" s="25" t="s">
        <v>179</v>
      </c>
      <c r="R315" s="25" t="s">
        <v>417</v>
      </c>
      <c r="S315" s="25" t="s">
        <v>177</v>
      </c>
      <c r="T315" s="25" t="s">
        <v>176</v>
      </c>
      <c r="U315" s="25" t="s">
        <v>175</v>
      </c>
    </row>
    <row r="316" spans="1:21" x14ac:dyDescent="0.2">
      <c r="A316" s="28"/>
      <c r="B316" s="25" t="s">
        <v>1161</v>
      </c>
      <c r="C316" s="25" t="s">
        <v>1161</v>
      </c>
      <c r="D316" s="25" t="s">
        <v>1158</v>
      </c>
      <c r="E316" s="25" t="s">
        <v>185</v>
      </c>
      <c r="F316" s="25" t="s">
        <v>1159</v>
      </c>
      <c r="G316" s="25" t="s">
        <v>419</v>
      </c>
      <c r="H316" s="25" t="s">
        <v>694</v>
      </c>
      <c r="I316" s="27">
        <v>43531</v>
      </c>
      <c r="K316" s="27">
        <v>43555</v>
      </c>
      <c r="L316" s="26">
        <v>-196707</v>
      </c>
      <c r="M316" s="25">
        <v>2000108757</v>
      </c>
      <c r="N316" s="25" t="s">
        <v>417</v>
      </c>
      <c r="O316" s="25" t="s">
        <v>180</v>
      </c>
      <c r="P316" s="26">
        <v>24</v>
      </c>
      <c r="Q316" s="25" t="s">
        <v>179</v>
      </c>
      <c r="R316" s="25" t="s">
        <v>417</v>
      </c>
      <c r="S316" s="25" t="s">
        <v>177</v>
      </c>
      <c r="T316" s="25" t="s">
        <v>176</v>
      </c>
      <c r="U316" s="25" t="s">
        <v>175</v>
      </c>
    </row>
    <row r="317" spans="1:21" x14ac:dyDescent="0.2">
      <c r="A317" s="28"/>
      <c r="B317" s="25" t="s">
        <v>1166</v>
      </c>
      <c r="C317" s="25">
        <v>13753732</v>
      </c>
      <c r="D317" s="25" t="s">
        <v>1165</v>
      </c>
      <c r="E317" s="25" t="s">
        <v>185</v>
      </c>
      <c r="F317" s="25" t="s">
        <v>1164</v>
      </c>
      <c r="G317" s="25" t="s">
        <v>183</v>
      </c>
      <c r="H317" s="25" t="s">
        <v>927</v>
      </c>
      <c r="I317" s="27">
        <v>43467</v>
      </c>
      <c r="K317" s="27">
        <v>43502</v>
      </c>
      <c r="L317" s="26">
        <v>-196707</v>
      </c>
      <c r="M317" s="25">
        <v>2000108757</v>
      </c>
      <c r="N317" s="25" t="s">
        <v>1163</v>
      </c>
      <c r="O317" s="25" t="s">
        <v>180</v>
      </c>
      <c r="P317" s="26">
        <v>23</v>
      </c>
      <c r="Q317" s="25" t="s">
        <v>179</v>
      </c>
      <c r="R317" s="25" t="s">
        <v>1162</v>
      </c>
      <c r="S317" s="25" t="s">
        <v>177</v>
      </c>
      <c r="T317" s="25" t="s">
        <v>176</v>
      </c>
      <c r="U317" s="25" t="s">
        <v>175</v>
      </c>
    </row>
    <row r="318" spans="1:21" x14ac:dyDescent="0.2">
      <c r="A318" s="28"/>
      <c r="B318" s="25" t="s">
        <v>1161</v>
      </c>
      <c r="C318" s="25" t="s">
        <v>1161</v>
      </c>
      <c r="D318" s="25" t="s">
        <v>693</v>
      </c>
      <c r="E318" s="25" t="s">
        <v>185</v>
      </c>
      <c r="F318" s="25" t="s">
        <v>1160</v>
      </c>
      <c r="G318" s="25" t="s">
        <v>276</v>
      </c>
      <c r="H318" s="25" t="s">
        <v>694</v>
      </c>
      <c r="I318" s="27">
        <v>43531</v>
      </c>
      <c r="K318" s="27">
        <v>43531</v>
      </c>
      <c r="L318" s="26">
        <v>196707</v>
      </c>
      <c r="M318" s="25">
        <v>2000108757</v>
      </c>
      <c r="N318" s="25" t="s">
        <v>1134</v>
      </c>
      <c r="O318" s="25" t="s">
        <v>271</v>
      </c>
      <c r="P318" s="26">
        <v>24</v>
      </c>
      <c r="Q318" s="25" t="s">
        <v>270</v>
      </c>
      <c r="R318" s="25" t="s">
        <v>703</v>
      </c>
      <c r="S318" s="25" t="s">
        <v>177</v>
      </c>
      <c r="T318" s="25" t="s">
        <v>176</v>
      </c>
      <c r="U318" s="25" t="s">
        <v>175</v>
      </c>
    </row>
    <row r="319" spans="1:21" x14ac:dyDescent="0.2">
      <c r="A319" s="28"/>
      <c r="B319" s="25" t="s">
        <v>1169</v>
      </c>
      <c r="C319" s="25" t="s">
        <v>1169</v>
      </c>
      <c r="D319" s="25" t="s">
        <v>1158</v>
      </c>
      <c r="E319" s="25" t="s">
        <v>185</v>
      </c>
      <c r="F319" s="25" t="s">
        <v>1167</v>
      </c>
      <c r="G319" s="25" t="s">
        <v>419</v>
      </c>
      <c r="H319" s="25" t="s">
        <v>235</v>
      </c>
      <c r="I319" s="27">
        <v>43531</v>
      </c>
      <c r="K319" s="27">
        <v>43555</v>
      </c>
      <c r="L319" s="26">
        <v>51300</v>
      </c>
      <c r="M319" s="25">
        <v>2000108754</v>
      </c>
      <c r="N319" s="25" t="s">
        <v>417</v>
      </c>
      <c r="O319" s="25" t="s">
        <v>271</v>
      </c>
      <c r="P319" s="26">
        <v>24</v>
      </c>
      <c r="Q319" s="25" t="s">
        <v>179</v>
      </c>
      <c r="R319" s="25" t="s">
        <v>417</v>
      </c>
      <c r="S319" s="25" t="s">
        <v>177</v>
      </c>
      <c r="T319" s="25" t="s">
        <v>176</v>
      </c>
      <c r="U319" s="25" t="s">
        <v>175</v>
      </c>
    </row>
    <row r="320" spans="1:21" x14ac:dyDescent="0.2">
      <c r="A320" s="28"/>
      <c r="B320" s="25" t="s">
        <v>1169</v>
      </c>
      <c r="C320" s="25" t="s">
        <v>1169</v>
      </c>
      <c r="D320" s="25" t="s">
        <v>1158</v>
      </c>
      <c r="E320" s="25" t="s">
        <v>185</v>
      </c>
      <c r="F320" s="25" t="s">
        <v>1167</v>
      </c>
      <c r="G320" s="25" t="s">
        <v>419</v>
      </c>
      <c r="H320" s="25" t="s">
        <v>726</v>
      </c>
      <c r="I320" s="27">
        <v>43531</v>
      </c>
      <c r="K320" s="27">
        <v>43555</v>
      </c>
      <c r="L320" s="26">
        <v>-51300</v>
      </c>
      <c r="M320" s="25">
        <v>2000108754</v>
      </c>
      <c r="N320" s="25" t="s">
        <v>417</v>
      </c>
      <c r="O320" s="25" t="s">
        <v>180</v>
      </c>
      <c r="P320" s="26">
        <v>24</v>
      </c>
      <c r="Q320" s="25" t="s">
        <v>179</v>
      </c>
      <c r="R320" s="25" t="s">
        <v>417</v>
      </c>
      <c r="S320" s="25" t="s">
        <v>177</v>
      </c>
      <c r="T320" s="25" t="s">
        <v>176</v>
      </c>
      <c r="U320" s="25" t="s">
        <v>175</v>
      </c>
    </row>
    <row r="321" spans="1:21" x14ac:dyDescent="0.2">
      <c r="A321" s="28"/>
      <c r="B321" s="25" t="s">
        <v>1173</v>
      </c>
      <c r="C321" s="25">
        <v>13799551</v>
      </c>
      <c r="D321" s="25" t="s">
        <v>1172</v>
      </c>
      <c r="E321" s="25" t="s">
        <v>185</v>
      </c>
      <c r="F321" s="25" t="s">
        <v>1171</v>
      </c>
      <c r="G321" s="25" t="s">
        <v>183</v>
      </c>
      <c r="H321" s="25" t="s">
        <v>235</v>
      </c>
      <c r="I321" s="27">
        <v>43468</v>
      </c>
      <c r="K321" s="27">
        <v>43502</v>
      </c>
      <c r="L321" s="26">
        <v>-51300</v>
      </c>
      <c r="M321" s="25">
        <v>2000108754</v>
      </c>
      <c r="N321" s="25" t="s">
        <v>892</v>
      </c>
      <c r="O321" s="25" t="s">
        <v>180</v>
      </c>
      <c r="P321" s="26">
        <v>23</v>
      </c>
      <c r="Q321" s="25" t="s">
        <v>179</v>
      </c>
      <c r="R321" s="25" t="s">
        <v>1170</v>
      </c>
      <c r="S321" s="25" t="s">
        <v>177</v>
      </c>
      <c r="T321" s="25" t="s">
        <v>176</v>
      </c>
      <c r="U321" s="25" t="s">
        <v>175</v>
      </c>
    </row>
    <row r="322" spans="1:21" x14ac:dyDescent="0.2">
      <c r="A322" s="28"/>
      <c r="B322" s="25" t="s">
        <v>1169</v>
      </c>
      <c r="C322" s="25" t="s">
        <v>1169</v>
      </c>
      <c r="D322" s="25" t="s">
        <v>724</v>
      </c>
      <c r="E322" s="25" t="s">
        <v>185</v>
      </c>
      <c r="F322" s="25" t="s">
        <v>1168</v>
      </c>
      <c r="G322" s="25" t="s">
        <v>276</v>
      </c>
      <c r="H322" s="25" t="s">
        <v>726</v>
      </c>
      <c r="I322" s="27">
        <v>43531</v>
      </c>
      <c r="K322" s="27">
        <v>43531</v>
      </c>
      <c r="L322" s="26">
        <v>51300</v>
      </c>
      <c r="M322" s="25">
        <v>2000108754</v>
      </c>
      <c r="N322" s="25" t="s">
        <v>1134</v>
      </c>
      <c r="O322" s="25" t="s">
        <v>271</v>
      </c>
      <c r="P322" s="26">
        <v>24</v>
      </c>
      <c r="Q322" s="25" t="s">
        <v>270</v>
      </c>
      <c r="R322" s="25" t="s">
        <v>881</v>
      </c>
      <c r="S322" s="25" t="s">
        <v>177</v>
      </c>
      <c r="T322" s="25" t="s">
        <v>176</v>
      </c>
      <c r="U322" s="25" t="s">
        <v>175</v>
      </c>
    </row>
    <row r="323" spans="1:21" x14ac:dyDescent="0.2">
      <c r="A323" s="28"/>
      <c r="B323" s="25" t="s">
        <v>1280</v>
      </c>
      <c r="C323" s="25">
        <v>13710091</v>
      </c>
      <c r="D323" s="25" t="s">
        <v>1279</v>
      </c>
      <c r="E323" s="25" t="s">
        <v>351</v>
      </c>
      <c r="F323" s="25" t="s">
        <v>1278</v>
      </c>
      <c r="G323" s="25" t="s">
        <v>183</v>
      </c>
      <c r="H323" s="25" t="s">
        <v>1253</v>
      </c>
      <c r="I323" s="27">
        <v>43365</v>
      </c>
      <c r="K323" s="27">
        <v>43378</v>
      </c>
      <c r="L323" s="26">
        <v>-108533</v>
      </c>
      <c r="M323" s="25">
        <v>2000108751</v>
      </c>
      <c r="N323" s="25" t="s">
        <v>1277</v>
      </c>
      <c r="O323" s="25" t="s">
        <v>180</v>
      </c>
      <c r="P323" s="26">
        <v>149</v>
      </c>
      <c r="Q323" s="25" t="s">
        <v>189</v>
      </c>
      <c r="R323" s="25" t="s">
        <v>572</v>
      </c>
      <c r="S323" s="25" t="s">
        <v>177</v>
      </c>
      <c r="T323" s="25" t="s">
        <v>176</v>
      </c>
      <c r="U323" s="25" t="s">
        <v>175</v>
      </c>
    </row>
    <row r="324" spans="1:21" x14ac:dyDescent="0.2">
      <c r="A324" s="28"/>
      <c r="B324" s="25" t="s">
        <v>1276</v>
      </c>
      <c r="C324" s="25">
        <v>13718519</v>
      </c>
      <c r="D324" s="25" t="s">
        <v>1275</v>
      </c>
      <c r="E324" s="25" t="s">
        <v>351</v>
      </c>
      <c r="F324" s="25" t="s">
        <v>1274</v>
      </c>
      <c r="G324" s="25" t="s">
        <v>183</v>
      </c>
      <c r="H324" s="25" t="s">
        <v>449</v>
      </c>
      <c r="I324" s="27">
        <v>43372</v>
      </c>
      <c r="K324" s="27">
        <v>43409</v>
      </c>
      <c r="L324" s="26">
        <v>-146063</v>
      </c>
      <c r="M324" s="25">
        <v>2000108751</v>
      </c>
      <c r="N324" s="25" t="s">
        <v>1273</v>
      </c>
      <c r="O324" s="25" t="s">
        <v>180</v>
      </c>
      <c r="P324" s="26">
        <v>149</v>
      </c>
      <c r="Q324" s="25" t="s">
        <v>189</v>
      </c>
      <c r="R324" s="25" t="s">
        <v>447</v>
      </c>
      <c r="S324" s="25" t="s">
        <v>177</v>
      </c>
      <c r="T324" s="25" t="s">
        <v>176</v>
      </c>
      <c r="U324" s="25" t="s">
        <v>175</v>
      </c>
    </row>
    <row r="325" spans="1:21" x14ac:dyDescent="0.2">
      <c r="A325" s="28"/>
      <c r="B325" s="25" t="s">
        <v>1272</v>
      </c>
      <c r="C325" s="25">
        <v>13743355</v>
      </c>
      <c r="D325" s="25" t="s">
        <v>1271</v>
      </c>
      <c r="E325" s="25" t="s">
        <v>185</v>
      </c>
      <c r="F325" s="25" t="s">
        <v>1270</v>
      </c>
      <c r="G325" s="25" t="s">
        <v>183</v>
      </c>
      <c r="H325" s="25" t="s">
        <v>1269</v>
      </c>
      <c r="I325" s="27">
        <v>43399</v>
      </c>
      <c r="K325" s="27">
        <v>43410</v>
      </c>
      <c r="L325" s="26">
        <v>-52257</v>
      </c>
      <c r="M325" s="25">
        <v>2000108751</v>
      </c>
      <c r="N325" s="25" t="s">
        <v>1268</v>
      </c>
      <c r="O325" s="25" t="s">
        <v>180</v>
      </c>
      <c r="P325" s="26">
        <v>117</v>
      </c>
      <c r="Q325" s="25" t="s">
        <v>189</v>
      </c>
      <c r="R325" s="25" t="s">
        <v>572</v>
      </c>
      <c r="S325" s="25" t="s">
        <v>177</v>
      </c>
      <c r="T325" s="25" t="s">
        <v>176</v>
      </c>
      <c r="U325" s="25" t="s">
        <v>175</v>
      </c>
    </row>
    <row r="326" spans="1:21" x14ac:dyDescent="0.2">
      <c r="A326" s="28"/>
      <c r="B326" s="25" t="s">
        <v>1267</v>
      </c>
      <c r="C326" s="25">
        <v>13726630</v>
      </c>
      <c r="D326" s="25" t="s">
        <v>1262</v>
      </c>
      <c r="E326" s="25" t="s">
        <v>185</v>
      </c>
      <c r="F326" s="25" t="s">
        <v>1266</v>
      </c>
      <c r="G326" s="25" t="s">
        <v>183</v>
      </c>
      <c r="H326" s="25" t="s">
        <v>1265</v>
      </c>
      <c r="I326" s="27">
        <v>43381</v>
      </c>
      <c r="K326" s="27">
        <v>43437</v>
      </c>
      <c r="L326" s="26">
        <v>-118990</v>
      </c>
      <c r="M326" s="25">
        <v>2000108751</v>
      </c>
      <c r="N326" s="25" t="s">
        <v>1264</v>
      </c>
      <c r="O326" s="25" t="s">
        <v>180</v>
      </c>
      <c r="P326" s="26">
        <v>117</v>
      </c>
      <c r="Q326" s="25" t="s">
        <v>189</v>
      </c>
      <c r="R326" s="25" t="s">
        <v>250</v>
      </c>
      <c r="S326" s="25" t="s">
        <v>177</v>
      </c>
      <c r="T326" s="25" t="s">
        <v>176</v>
      </c>
      <c r="U326" s="25" t="s">
        <v>175</v>
      </c>
    </row>
    <row r="327" spans="1:21" x14ac:dyDescent="0.2">
      <c r="A327" s="28"/>
      <c r="B327" s="25" t="s">
        <v>1263</v>
      </c>
      <c r="C327" s="25">
        <v>13739768</v>
      </c>
      <c r="D327" s="25" t="s">
        <v>1262</v>
      </c>
      <c r="E327" s="25" t="s">
        <v>185</v>
      </c>
      <c r="F327" s="25" t="s">
        <v>1261</v>
      </c>
      <c r="G327" s="25" t="s">
        <v>183</v>
      </c>
      <c r="H327" s="25" t="s">
        <v>1260</v>
      </c>
      <c r="I327" s="27">
        <v>43396</v>
      </c>
      <c r="K327" s="27">
        <v>43437</v>
      </c>
      <c r="L327" s="26">
        <v>-51300</v>
      </c>
      <c r="M327" s="25">
        <v>2000108751</v>
      </c>
      <c r="N327" s="25" t="s">
        <v>1259</v>
      </c>
      <c r="O327" s="25" t="s">
        <v>180</v>
      </c>
      <c r="P327" s="26">
        <v>117</v>
      </c>
      <c r="Q327" s="25" t="s">
        <v>189</v>
      </c>
      <c r="R327" s="25" t="s">
        <v>250</v>
      </c>
      <c r="S327" s="25" t="s">
        <v>177</v>
      </c>
      <c r="T327" s="25" t="s">
        <v>176</v>
      </c>
      <c r="U327" s="25" t="s">
        <v>175</v>
      </c>
    </row>
    <row r="328" spans="1:21" x14ac:dyDescent="0.2">
      <c r="A328" s="28"/>
      <c r="B328" s="25" t="s">
        <v>1258</v>
      </c>
      <c r="C328" s="25">
        <v>13448463</v>
      </c>
      <c r="D328" s="25" t="s">
        <v>1257</v>
      </c>
      <c r="E328" s="25" t="s">
        <v>185</v>
      </c>
      <c r="F328" s="25" t="s">
        <v>1256</v>
      </c>
      <c r="G328" s="25" t="s">
        <v>183</v>
      </c>
      <c r="H328" s="25" t="s">
        <v>1255</v>
      </c>
      <c r="I328" s="27">
        <v>43091</v>
      </c>
      <c r="K328" s="27">
        <v>43118</v>
      </c>
      <c r="L328" s="26">
        <v>-48400</v>
      </c>
      <c r="M328" s="25">
        <v>2000108751</v>
      </c>
      <c r="N328" s="25" t="s">
        <v>1254</v>
      </c>
      <c r="O328" s="25" t="s">
        <v>180</v>
      </c>
      <c r="P328" s="26">
        <v>409</v>
      </c>
      <c r="Q328" s="25" t="s">
        <v>189</v>
      </c>
      <c r="R328" s="25" t="s">
        <v>250</v>
      </c>
      <c r="S328" s="25" t="s">
        <v>177</v>
      </c>
      <c r="T328" s="25" t="s">
        <v>176</v>
      </c>
      <c r="U328" s="25" t="s">
        <v>175</v>
      </c>
    </row>
    <row r="329" spans="1:21" x14ac:dyDescent="0.2">
      <c r="A329" s="28"/>
      <c r="B329" s="25" t="s">
        <v>1176</v>
      </c>
      <c r="C329" s="25" t="s">
        <v>1176</v>
      </c>
      <c r="D329" s="25" t="s">
        <v>1158</v>
      </c>
      <c r="E329" s="25" t="s">
        <v>351</v>
      </c>
      <c r="F329" s="25" t="s">
        <v>1174</v>
      </c>
      <c r="G329" s="25" t="s">
        <v>419</v>
      </c>
      <c r="H329" s="25" t="s">
        <v>1253</v>
      </c>
      <c r="I329" s="27">
        <v>43531</v>
      </c>
      <c r="K329" s="27">
        <v>43555</v>
      </c>
      <c r="L329" s="26">
        <v>254596</v>
      </c>
      <c r="M329" s="25">
        <v>2000108751</v>
      </c>
      <c r="N329" s="25" t="s">
        <v>417</v>
      </c>
      <c r="O329" s="25" t="s">
        <v>271</v>
      </c>
      <c r="P329" s="26">
        <v>26</v>
      </c>
      <c r="Q329" s="25" t="s">
        <v>179</v>
      </c>
      <c r="R329" s="25" t="s">
        <v>417</v>
      </c>
      <c r="S329" s="25" t="s">
        <v>177</v>
      </c>
      <c r="T329" s="25" t="s">
        <v>176</v>
      </c>
      <c r="U329" s="25" t="s">
        <v>175</v>
      </c>
    </row>
    <row r="330" spans="1:21" x14ac:dyDescent="0.2">
      <c r="A330" s="28"/>
      <c r="B330" s="25" t="s">
        <v>1176</v>
      </c>
      <c r="C330" s="25" t="s">
        <v>1176</v>
      </c>
      <c r="D330" s="25" t="s">
        <v>1158</v>
      </c>
      <c r="E330" s="25" t="s">
        <v>185</v>
      </c>
      <c r="F330" s="25" t="s">
        <v>1174</v>
      </c>
      <c r="G330" s="25" t="s">
        <v>419</v>
      </c>
      <c r="H330" s="25" t="s">
        <v>1235</v>
      </c>
      <c r="I330" s="27">
        <v>43531</v>
      </c>
      <c r="K330" s="27">
        <v>43555</v>
      </c>
      <c r="L330" s="26">
        <v>-284792</v>
      </c>
      <c r="M330" s="25">
        <v>2000108751</v>
      </c>
      <c r="N330" s="25" t="s">
        <v>417</v>
      </c>
      <c r="O330" s="25" t="s">
        <v>180</v>
      </c>
      <c r="P330" s="26">
        <v>26</v>
      </c>
      <c r="Q330" s="25" t="s">
        <v>179</v>
      </c>
      <c r="R330" s="25" t="s">
        <v>417</v>
      </c>
      <c r="S330" s="25" t="s">
        <v>177</v>
      </c>
      <c r="T330" s="25" t="s">
        <v>176</v>
      </c>
      <c r="U330" s="25" t="s">
        <v>175</v>
      </c>
    </row>
    <row r="331" spans="1:21" x14ac:dyDescent="0.2">
      <c r="A331" s="28"/>
      <c r="B331" s="25" t="s">
        <v>1176</v>
      </c>
      <c r="C331" s="25" t="s">
        <v>1176</v>
      </c>
      <c r="D331" s="25" t="s">
        <v>1158</v>
      </c>
      <c r="E331" s="25" t="s">
        <v>312</v>
      </c>
      <c r="F331" s="25" t="s">
        <v>1174</v>
      </c>
      <c r="G331" s="25" t="s">
        <v>419</v>
      </c>
      <c r="H331" s="25" t="s">
        <v>1189</v>
      </c>
      <c r="I331" s="27">
        <v>43531</v>
      </c>
      <c r="K331" s="27">
        <v>43555</v>
      </c>
      <c r="L331" s="26">
        <v>30196</v>
      </c>
      <c r="M331" s="25">
        <v>2000108751</v>
      </c>
      <c r="N331" s="25" t="s">
        <v>417</v>
      </c>
      <c r="O331" s="25" t="s">
        <v>271</v>
      </c>
      <c r="P331" s="26">
        <v>26</v>
      </c>
      <c r="Q331" s="25" t="s">
        <v>179</v>
      </c>
      <c r="R331" s="25" t="s">
        <v>417</v>
      </c>
      <c r="S331" s="25" t="s">
        <v>177</v>
      </c>
      <c r="T331" s="25" t="s">
        <v>176</v>
      </c>
      <c r="U331" s="25" t="s">
        <v>175</v>
      </c>
    </row>
    <row r="332" spans="1:21" x14ac:dyDescent="0.2">
      <c r="A332" s="28"/>
      <c r="B332" s="25" t="s">
        <v>1252</v>
      </c>
      <c r="C332" s="25">
        <v>13783511</v>
      </c>
      <c r="D332" s="25" t="s">
        <v>1251</v>
      </c>
      <c r="E332" s="25" t="s">
        <v>185</v>
      </c>
      <c r="F332" s="25" t="s">
        <v>1250</v>
      </c>
      <c r="G332" s="25" t="s">
        <v>183</v>
      </c>
      <c r="H332" s="25" t="s">
        <v>530</v>
      </c>
      <c r="I332" s="27">
        <v>43468</v>
      </c>
      <c r="K332" s="27">
        <v>43502</v>
      </c>
      <c r="L332" s="26">
        <v>-111410</v>
      </c>
      <c r="M332" s="25">
        <v>2000108751</v>
      </c>
      <c r="N332" s="25" t="s">
        <v>822</v>
      </c>
      <c r="O332" s="25" t="s">
        <v>180</v>
      </c>
      <c r="P332" s="26">
        <v>25</v>
      </c>
      <c r="Q332" s="25" t="s">
        <v>179</v>
      </c>
      <c r="R332" s="25" t="s">
        <v>528</v>
      </c>
      <c r="S332" s="25" t="s">
        <v>177</v>
      </c>
      <c r="T332" s="25" t="s">
        <v>176</v>
      </c>
      <c r="U332" s="25" t="s">
        <v>175</v>
      </c>
    </row>
    <row r="333" spans="1:21" x14ac:dyDescent="0.2">
      <c r="A333" s="28"/>
      <c r="B333" s="25" t="s">
        <v>1249</v>
      </c>
      <c r="C333" s="25">
        <v>13789569</v>
      </c>
      <c r="D333" s="25" t="s">
        <v>1248</v>
      </c>
      <c r="E333" s="25" t="s">
        <v>185</v>
      </c>
      <c r="F333" s="25" t="s">
        <v>1247</v>
      </c>
      <c r="G333" s="25" t="s">
        <v>183</v>
      </c>
      <c r="H333" s="25" t="s">
        <v>530</v>
      </c>
      <c r="I333" s="27">
        <v>43468</v>
      </c>
      <c r="K333" s="27">
        <v>43502</v>
      </c>
      <c r="L333" s="26">
        <v>-81084</v>
      </c>
      <c r="M333" s="25">
        <v>2000108751</v>
      </c>
      <c r="N333" s="25" t="s">
        <v>1246</v>
      </c>
      <c r="O333" s="25" t="s">
        <v>180</v>
      </c>
      <c r="P333" s="26">
        <v>25</v>
      </c>
      <c r="Q333" s="25" t="s">
        <v>179</v>
      </c>
      <c r="R333" s="25" t="s">
        <v>1245</v>
      </c>
      <c r="S333" s="25" t="s">
        <v>177</v>
      </c>
      <c r="T333" s="25" t="s">
        <v>176</v>
      </c>
      <c r="U333" s="25" t="s">
        <v>175</v>
      </c>
    </row>
    <row r="334" spans="1:21" x14ac:dyDescent="0.2">
      <c r="A334" s="28"/>
      <c r="B334" s="25" t="s">
        <v>566</v>
      </c>
      <c r="C334" s="25">
        <v>13791092</v>
      </c>
      <c r="D334" s="25" t="s">
        <v>1241</v>
      </c>
      <c r="E334" s="25" t="s">
        <v>185</v>
      </c>
      <c r="F334" s="25" t="s">
        <v>1244</v>
      </c>
      <c r="G334" s="25" t="s">
        <v>183</v>
      </c>
      <c r="H334" s="25" t="s">
        <v>559</v>
      </c>
      <c r="I334" s="27">
        <v>43468</v>
      </c>
      <c r="K334" s="27">
        <v>43502</v>
      </c>
      <c r="L334" s="26">
        <v>-871288</v>
      </c>
      <c r="M334" s="25">
        <v>2000108751</v>
      </c>
      <c r="N334" s="25" t="s">
        <v>1243</v>
      </c>
      <c r="O334" s="25" t="s">
        <v>180</v>
      </c>
      <c r="P334" s="26">
        <v>25</v>
      </c>
      <c r="Q334" s="25" t="s">
        <v>179</v>
      </c>
      <c r="R334" s="25" t="s">
        <v>244</v>
      </c>
      <c r="S334" s="25" t="s">
        <v>177</v>
      </c>
      <c r="T334" s="25" t="s">
        <v>176</v>
      </c>
      <c r="U334" s="25" t="s">
        <v>175</v>
      </c>
    </row>
    <row r="335" spans="1:21" x14ac:dyDescent="0.2">
      <c r="A335" s="28"/>
      <c r="B335" s="25" t="s">
        <v>1242</v>
      </c>
      <c r="C335" s="25">
        <v>13801172</v>
      </c>
      <c r="D335" s="25" t="s">
        <v>1241</v>
      </c>
      <c r="E335" s="25" t="s">
        <v>185</v>
      </c>
      <c r="F335" s="25" t="s">
        <v>1240</v>
      </c>
      <c r="G335" s="25" t="s">
        <v>183</v>
      </c>
      <c r="H335" s="25" t="s">
        <v>246</v>
      </c>
      <c r="I335" s="27">
        <v>43468</v>
      </c>
      <c r="K335" s="27">
        <v>43502</v>
      </c>
      <c r="L335" s="26">
        <v>-2717645</v>
      </c>
      <c r="M335" s="25">
        <v>2000108751</v>
      </c>
      <c r="N335" s="25" t="s">
        <v>1239</v>
      </c>
      <c r="O335" s="25" t="s">
        <v>180</v>
      </c>
      <c r="P335" s="26">
        <v>25</v>
      </c>
      <c r="Q335" s="25" t="s">
        <v>179</v>
      </c>
      <c r="R335" s="25" t="s">
        <v>244</v>
      </c>
      <c r="S335" s="25" t="s">
        <v>177</v>
      </c>
      <c r="T335" s="25" t="s">
        <v>176</v>
      </c>
      <c r="U335" s="25" t="s">
        <v>175</v>
      </c>
    </row>
    <row r="336" spans="1:21" x14ac:dyDescent="0.2">
      <c r="A336" s="28"/>
      <c r="B336" s="25" t="s">
        <v>1238</v>
      </c>
      <c r="C336" s="25">
        <v>13771921</v>
      </c>
      <c r="D336" s="25" t="s">
        <v>1237</v>
      </c>
      <c r="E336" s="25" t="s">
        <v>185</v>
      </c>
      <c r="F336" s="25" t="s">
        <v>1236</v>
      </c>
      <c r="G336" s="25" t="s">
        <v>183</v>
      </c>
      <c r="H336" s="25" t="s">
        <v>1235</v>
      </c>
      <c r="I336" s="27">
        <v>43467</v>
      </c>
      <c r="K336" s="27">
        <v>43502</v>
      </c>
      <c r="L336" s="26">
        <v>-58878</v>
      </c>
      <c r="M336" s="25">
        <v>2000108751</v>
      </c>
      <c r="N336" s="25" t="s">
        <v>1234</v>
      </c>
      <c r="O336" s="25" t="s">
        <v>180</v>
      </c>
      <c r="P336" s="26">
        <v>25</v>
      </c>
      <c r="Q336" s="25" t="s">
        <v>179</v>
      </c>
      <c r="R336" s="25" t="s">
        <v>1162</v>
      </c>
      <c r="S336" s="25" t="s">
        <v>177</v>
      </c>
      <c r="T336" s="25" t="s">
        <v>176</v>
      </c>
      <c r="U336" s="25" t="s">
        <v>175</v>
      </c>
    </row>
    <row r="337" spans="1:21" x14ac:dyDescent="0.2">
      <c r="A337" s="28"/>
      <c r="B337" s="25" t="s">
        <v>1233</v>
      </c>
      <c r="C337" s="25">
        <v>13760864</v>
      </c>
      <c r="D337" s="25" t="s">
        <v>1232</v>
      </c>
      <c r="E337" s="25" t="s">
        <v>185</v>
      </c>
      <c r="F337" s="25" t="s">
        <v>1231</v>
      </c>
      <c r="G337" s="25" t="s">
        <v>183</v>
      </c>
      <c r="H337" s="25" t="s">
        <v>530</v>
      </c>
      <c r="I337" s="27">
        <v>43467</v>
      </c>
      <c r="K337" s="27">
        <v>43502</v>
      </c>
      <c r="L337" s="26">
        <v>-51300</v>
      </c>
      <c r="M337" s="25">
        <v>2000108751</v>
      </c>
      <c r="N337" s="25" t="s">
        <v>1230</v>
      </c>
      <c r="O337" s="25" t="s">
        <v>180</v>
      </c>
      <c r="P337" s="26">
        <v>25</v>
      </c>
      <c r="Q337" s="25" t="s">
        <v>179</v>
      </c>
      <c r="R337" s="25" t="s">
        <v>528</v>
      </c>
      <c r="S337" s="25" t="s">
        <v>177</v>
      </c>
      <c r="T337" s="25" t="s">
        <v>176</v>
      </c>
      <c r="U337" s="25" t="s">
        <v>175</v>
      </c>
    </row>
    <row r="338" spans="1:21" x14ac:dyDescent="0.2">
      <c r="A338" s="28"/>
      <c r="B338" s="25" t="s">
        <v>1229</v>
      </c>
      <c r="C338" s="25">
        <v>13766722</v>
      </c>
      <c r="D338" s="25" t="s">
        <v>1225</v>
      </c>
      <c r="E338" s="25" t="s">
        <v>185</v>
      </c>
      <c r="F338" s="25" t="s">
        <v>1228</v>
      </c>
      <c r="G338" s="25" t="s">
        <v>183</v>
      </c>
      <c r="H338" s="25" t="s">
        <v>449</v>
      </c>
      <c r="I338" s="27">
        <v>43488</v>
      </c>
      <c r="K338" s="27">
        <v>43502</v>
      </c>
      <c r="L338" s="26">
        <v>-51300</v>
      </c>
      <c r="M338" s="25">
        <v>2000108751</v>
      </c>
      <c r="N338" s="25" t="s">
        <v>1227</v>
      </c>
      <c r="O338" s="25" t="s">
        <v>180</v>
      </c>
      <c r="P338" s="26">
        <v>25</v>
      </c>
      <c r="Q338" s="25" t="s">
        <v>179</v>
      </c>
      <c r="R338" s="25" t="s">
        <v>447</v>
      </c>
      <c r="S338" s="25" t="s">
        <v>177</v>
      </c>
      <c r="T338" s="25" t="s">
        <v>176</v>
      </c>
      <c r="U338" s="25" t="s">
        <v>175</v>
      </c>
    </row>
    <row r="339" spans="1:21" x14ac:dyDescent="0.2">
      <c r="A339" s="28"/>
      <c r="B339" s="25" t="s">
        <v>1226</v>
      </c>
      <c r="C339" s="25">
        <v>13752276</v>
      </c>
      <c r="D339" s="25" t="s">
        <v>1225</v>
      </c>
      <c r="E339" s="25" t="s">
        <v>185</v>
      </c>
      <c r="F339" s="25" t="s">
        <v>1224</v>
      </c>
      <c r="G339" s="25" t="s">
        <v>183</v>
      </c>
      <c r="H339" s="25" t="s">
        <v>449</v>
      </c>
      <c r="I339" s="27">
        <v>43467</v>
      </c>
      <c r="K339" s="27">
        <v>43502</v>
      </c>
      <c r="L339" s="26">
        <v>-655132</v>
      </c>
      <c r="M339" s="25">
        <v>2000108751</v>
      </c>
      <c r="N339" s="25" t="s">
        <v>1223</v>
      </c>
      <c r="O339" s="25" t="s">
        <v>180</v>
      </c>
      <c r="P339" s="26">
        <v>25</v>
      </c>
      <c r="Q339" s="25" t="s">
        <v>179</v>
      </c>
      <c r="R339" s="25" t="s">
        <v>447</v>
      </c>
      <c r="S339" s="25" t="s">
        <v>177</v>
      </c>
      <c r="T339" s="25" t="s">
        <v>176</v>
      </c>
      <c r="U339" s="25" t="s">
        <v>175</v>
      </c>
    </row>
    <row r="340" spans="1:21" x14ac:dyDescent="0.2">
      <c r="A340" s="28"/>
      <c r="B340" s="25" t="s">
        <v>1222</v>
      </c>
      <c r="C340" s="25">
        <v>13776730</v>
      </c>
      <c r="D340" s="25" t="s">
        <v>1141</v>
      </c>
      <c r="E340" s="25" t="s">
        <v>185</v>
      </c>
      <c r="F340" s="25" t="s">
        <v>1221</v>
      </c>
      <c r="G340" s="25" t="s">
        <v>183</v>
      </c>
      <c r="H340" s="25" t="s">
        <v>240</v>
      </c>
      <c r="I340" s="27">
        <v>43467</v>
      </c>
      <c r="K340" s="27">
        <v>43546</v>
      </c>
      <c r="L340" s="26">
        <v>-225800</v>
      </c>
      <c r="M340" s="25">
        <v>2000108751</v>
      </c>
      <c r="N340" s="25" t="s">
        <v>1139</v>
      </c>
      <c r="O340" s="25" t="s">
        <v>180</v>
      </c>
      <c r="P340" s="26">
        <v>25</v>
      </c>
      <c r="Q340" s="25" t="s">
        <v>179</v>
      </c>
      <c r="R340" s="25" t="s">
        <v>427</v>
      </c>
      <c r="S340" s="25" t="s">
        <v>177</v>
      </c>
      <c r="T340" s="25" t="s">
        <v>176</v>
      </c>
      <c r="U340" s="25" t="s">
        <v>175</v>
      </c>
    </row>
    <row r="341" spans="1:21" x14ac:dyDescent="0.2">
      <c r="A341" s="28"/>
      <c r="B341" s="25" t="s">
        <v>1220</v>
      </c>
      <c r="C341" s="25">
        <v>13647929</v>
      </c>
      <c r="D341" s="25" t="s">
        <v>1002</v>
      </c>
      <c r="E341" s="25" t="s">
        <v>185</v>
      </c>
      <c r="F341" s="25" t="s">
        <v>1219</v>
      </c>
      <c r="G341" s="25" t="s">
        <v>183</v>
      </c>
      <c r="H341" s="25" t="s">
        <v>246</v>
      </c>
      <c r="I341" s="27">
        <v>43487</v>
      </c>
      <c r="K341" s="27">
        <v>43502</v>
      </c>
      <c r="L341" s="26">
        <v>-22700</v>
      </c>
      <c r="M341" s="25">
        <v>2000108751</v>
      </c>
      <c r="N341" s="25" t="s">
        <v>1218</v>
      </c>
      <c r="O341" s="25" t="s">
        <v>180</v>
      </c>
      <c r="P341" s="26">
        <v>25</v>
      </c>
      <c r="Q341" s="25" t="s">
        <v>179</v>
      </c>
      <c r="R341" s="25" t="s">
        <v>244</v>
      </c>
      <c r="S341" s="25" t="s">
        <v>177</v>
      </c>
      <c r="T341" s="25" t="s">
        <v>176</v>
      </c>
      <c r="U341" s="25" t="s">
        <v>175</v>
      </c>
    </row>
    <row r="342" spans="1:21" x14ac:dyDescent="0.2">
      <c r="A342" s="28"/>
      <c r="B342" s="25" t="s">
        <v>1217</v>
      </c>
      <c r="C342" s="25">
        <v>13770840</v>
      </c>
      <c r="D342" s="25" t="s">
        <v>1216</v>
      </c>
      <c r="E342" s="25" t="s">
        <v>185</v>
      </c>
      <c r="F342" s="25" t="s">
        <v>1215</v>
      </c>
      <c r="G342" s="25" t="s">
        <v>183</v>
      </c>
      <c r="H342" s="25" t="s">
        <v>449</v>
      </c>
      <c r="I342" s="27">
        <v>43467</v>
      </c>
      <c r="K342" s="27">
        <v>43502</v>
      </c>
      <c r="L342" s="26">
        <v>-158555</v>
      </c>
      <c r="M342" s="25">
        <v>2000108751</v>
      </c>
      <c r="N342" s="25" t="s">
        <v>1214</v>
      </c>
      <c r="O342" s="25" t="s">
        <v>180</v>
      </c>
      <c r="P342" s="26">
        <v>25</v>
      </c>
      <c r="Q342" s="25" t="s">
        <v>179</v>
      </c>
      <c r="R342" s="25" t="s">
        <v>447</v>
      </c>
      <c r="S342" s="25" t="s">
        <v>177</v>
      </c>
      <c r="T342" s="25" t="s">
        <v>176</v>
      </c>
      <c r="U342" s="25" t="s">
        <v>175</v>
      </c>
    </row>
    <row r="343" spans="1:21" x14ac:dyDescent="0.2">
      <c r="A343" s="28"/>
      <c r="B343" s="25" t="s">
        <v>1213</v>
      </c>
      <c r="C343" s="25">
        <v>13807069</v>
      </c>
      <c r="D343" s="25" t="s">
        <v>1212</v>
      </c>
      <c r="E343" s="25" t="s">
        <v>185</v>
      </c>
      <c r="F343" s="25" t="s">
        <v>1211</v>
      </c>
      <c r="G343" s="25" t="s">
        <v>183</v>
      </c>
      <c r="H343" s="25" t="s">
        <v>449</v>
      </c>
      <c r="I343" s="27">
        <v>43472</v>
      </c>
      <c r="K343" s="27">
        <v>43510</v>
      </c>
      <c r="L343" s="26">
        <v>-156134</v>
      </c>
      <c r="M343" s="25">
        <v>2000108751</v>
      </c>
      <c r="N343" s="25" t="s">
        <v>1210</v>
      </c>
      <c r="O343" s="25" t="s">
        <v>180</v>
      </c>
      <c r="P343" s="26">
        <v>17</v>
      </c>
      <c r="Q343" s="25" t="s">
        <v>179</v>
      </c>
      <c r="R343" s="25" t="s">
        <v>447</v>
      </c>
      <c r="S343" s="25" t="s">
        <v>177</v>
      </c>
      <c r="T343" s="25" t="s">
        <v>176</v>
      </c>
      <c r="U343" s="25" t="s">
        <v>175</v>
      </c>
    </row>
    <row r="344" spans="1:21" x14ac:dyDescent="0.2">
      <c r="A344" s="28"/>
      <c r="B344" s="25" t="s">
        <v>1209</v>
      </c>
      <c r="C344" s="25">
        <v>13823853</v>
      </c>
      <c r="D344" s="25" t="s">
        <v>1054</v>
      </c>
      <c r="E344" s="25" t="s">
        <v>185</v>
      </c>
      <c r="F344" s="25" t="s">
        <v>1208</v>
      </c>
      <c r="G344" s="25" t="s">
        <v>183</v>
      </c>
      <c r="H344" s="25" t="s">
        <v>240</v>
      </c>
      <c r="I344" s="27">
        <v>43489</v>
      </c>
      <c r="K344" s="27">
        <v>43557</v>
      </c>
      <c r="L344" s="26">
        <v>-1684238</v>
      </c>
      <c r="M344" s="25">
        <v>2000108751</v>
      </c>
      <c r="N344" s="25" t="s">
        <v>1139</v>
      </c>
      <c r="O344" s="25" t="s">
        <v>180</v>
      </c>
      <c r="P344" s="26">
        <v>17</v>
      </c>
      <c r="Q344" s="25" t="s">
        <v>179</v>
      </c>
      <c r="R344" s="25" t="s">
        <v>427</v>
      </c>
      <c r="S344" s="25" t="s">
        <v>177</v>
      </c>
      <c r="T344" s="25" t="s">
        <v>176</v>
      </c>
      <c r="U344" s="25" t="s">
        <v>175</v>
      </c>
    </row>
    <row r="345" spans="1:21" x14ac:dyDescent="0.2">
      <c r="A345" s="28"/>
      <c r="B345" s="25" t="s">
        <v>1055</v>
      </c>
      <c r="C345" s="25">
        <v>13824023</v>
      </c>
      <c r="D345" s="25" t="s">
        <v>1054</v>
      </c>
      <c r="E345" s="25" t="s">
        <v>185</v>
      </c>
      <c r="F345" s="25" t="s">
        <v>1053</v>
      </c>
      <c r="G345" s="25" t="s">
        <v>183</v>
      </c>
      <c r="H345" s="25" t="s">
        <v>240</v>
      </c>
      <c r="I345" s="27">
        <v>43489</v>
      </c>
      <c r="K345" s="27">
        <v>43557</v>
      </c>
      <c r="L345" s="26">
        <v>-148085</v>
      </c>
      <c r="M345" s="25">
        <v>2000108751</v>
      </c>
      <c r="N345" s="25" t="s">
        <v>1138</v>
      </c>
      <c r="O345" s="25" t="s">
        <v>180</v>
      </c>
      <c r="P345" s="26">
        <v>17</v>
      </c>
      <c r="Q345" s="25" t="s">
        <v>179</v>
      </c>
      <c r="R345" s="25" t="s">
        <v>427</v>
      </c>
      <c r="S345" s="25" t="s">
        <v>177</v>
      </c>
      <c r="T345" s="25" t="s">
        <v>176</v>
      </c>
      <c r="U345" s="25" t="s">
        <v>175</v>
      </c>
    </row>
    <row r="346" spans="1:21" x14ac:dyDescent="0.2">
      <c r="A346" s="28"/>
      <c r="B346" s="25" t="s">
        <v>1207</v>
      </c>
      <c r="C346" s="25">
        <v>13775890</v>
      </c>
      <c r="D346" s="25" t="s">
        <v>1206</v>
      </c>
      <c r="E346" s="25" t="s">
        <v>185</v>
      </c>
      <c r="F346" s="25" t="s">
        <v>1205</v>
      </c>
      <c r="G346" s="25" t="s">
        <v>183</v>
      </c>
      <c r="H346" s="25" t="s">
        <v>246</v>
      </c>
      <c r="I346" s="27">
        <v>43467</v>
      </c>
      <c r="K346" s="27">
        <v>43510</v>
      </c>
      <c r="L346" s="26">
        <v>-45100</v>
      </c>
      <c r="M346" s="25">
        <v>2000108751</v>
      </c>
      <c r="N346" s="25" t="s">
        <v>1043</v>
      </c>
      <c r="O346" s="25" t="s">
        <v>180</v>
      </c>
      <c r="P346" s="26">
        <v>17</v>
      </c>
      <c r="Q346" s="25" t="s">
        <v>179</v>
      </c>
      <c r="R346" s="25" t="s">
        <v>244</v>
      </c>
      <c r="S346" s="25" t="s">
        <v>177</v>
      </c>
      <c r="T346" s="25" t="s">
        <v>176</v>
      </c>
      <c r="U346" s="25" t="s">
        <v>175</v>
      </c>
    </row>
    <row r="347" spans="1:21" x14ac:dyDescent="0.2">
      <c r="A347" s="28"/>
      <c r="B347" s="25" t="s">
        <v>1204</v>
      </c>
      <c r="C347" s="25">
        <v>13601857</v>
      </c>
      <c r="D347" s="25" t="s">
        <v>1203</v>
      </c>
      <c r="E347" s="25" t="s">
        <v>185</v>
      </c>
      <c r="F347" s="25" t="s">
        <v>1202</v>
      </c>
      <c r="G347" s="25" t="s">
        <v>183</v>
      </c>
      <c r="H347" s="25" t="s">
        <v>1201</v>
      </c>
      <c r="I347" s="27">
        <v>43261</v>
      </c>
      <c r="K347" s="27">
        <v>43328</v>
      </c>
      <c r="L347" s="26">
        <v>-121257</v>
      </c>
      <c r="M347" s="25">
        <v>2000108751</v>
      </c>
      <c r="N347" s="25" t="s">
        <v>1200</v>
      </c>
      <c r="O347" s="25" t="s">
        <v>180</v>
      </c>
      <c r="P347" s="26">
        <v>199</v>
      </c>
      <c r="Q347" s="25" t="s">
        <v>189</v>
      </c>
      <c r="R347" s="25" t="s">
        <v>1199</v>
      </c>
      <c r="S347" s="25" t="s">
        <v>177</v>
      </c>
      <c r="T347" s="25" t="s">
        <v>176</v>
      </c>
      <c r="U347" s="25" t="s">
        <v>175</v>
      </c>
    </row>
    <row r="348" spans="1:21" x14ac:dyDescent="0.2">
      <c r="A348" s="28"/>
      <c r="B348" s="25" t="s">
        <v>1198</v>
      </c>
      <c r="C348" s="25">
        <v>13531013</v>
      </c>
      <c r="D348" s="25" t="s">
        <v>1197</v>
      </c>
      <c r="E348" s="25" t="s">
        <v>185</v>
      </c>
      <c r="F348" s="25" t="s">
        <v>1196</v>
      </c>
      <c r="G348" s="25" t="s">
        <v>183</v>
      </c>
      <c r="H348" s="25" t="s">
        <v>587</v>
      </c>
      <c r="I348" s="27">
        <v>43188</v>
      </c>
      <c r="K348" s="27">
        <v>43328</v>
      </c>
      <c r="L348" s="26">
        <v>-52226</v>
      </c>
      <c r="M348" s="25">
        <v>2000108751</v>
      </c>
      <c r="N348" s="25" t="s">
        <v>1097</v>
      </c>
      <c r="O348" s="25" t="s">
        <v>180</v>
      </c>
      <c r="P348" s="26">
        <v>199</v>
      </c>
      <c r="Q348" s="25" t="s">
        <v>189</v>
      </c>
      <c r="R348" s="25" t="s">
        <v>178</v>
      </c>
      <c r="S348" s="25" t="s">
        <v>177</v>
      </c>
      <c r="T348" s="25" t="s">
        <v>176</v>
      </c>
      <c r="U348" s="25" t="s">
        <v>175</v>
      </c>
    </row>
    <row r="349" spans="1:21" x14ac:dyDescent="0.2">
      <c r="A349" s="28"/>
      <c r="B349" s="25" t="s">
        <v>1192</v>
      </c>
      <c r="C349" s="25">
        <v>13525049</v>
      </c>
      <c r="D349" s="25" t="s">
        <v>1195</v>
      </c>
      <c r="E349" s="25" t="s">
        <v>185</v>
      </c>
      <c r="F349" s="25" t="s">
        <v>1194</v>
      </c>
      <c r="G349" s="25" t="s">
        <v>183</v>
      </c>
      <c r="H349" s="25" t="s">
        <v>1189</v>
      </c>
      <c r="I349" s="27">
        <v>43182</v>
      </c>
      <c r="K349" s="27">
        <v>43328</v>
      </c>
      <c r="L349" s="26">
        <v>-143955</v>
      </c>
      <c r="M349" s="25">
        <v>2000108751</v>
      </c>
      <c r="N349" s="25" t="s">
        <v>1193</v>
      </c>
      <c r="O349" s="25" t="s">
        <v>180</v>
      </c>
      <c r="P349" s="26">
        <v>199</v>
      </c>
      <c r="Q349" s="25" t="s">
        <v>189</v>
      </c>
      <c r="R349" s="25" t="s">
        <v>572</v>
      </c>
      <c r="S349" s="25" t="s">
        <v>177</v>
      </c>
      <c r="T349" s="25" t="s">
        <v>176</v>
      </c>
      <c r="U349" s="25" t="s">
        <v>175</v>
      </c>
    </row>
    <row r="350" spans="1:21" x14ac:dyDescent="0.2">
      <c r="A350" s="28"/>
      <c r="B350" s="25" t="s">
        <v>1192</v>
      </c>
      <c r="C350" s="25">
        <v>13525049</v>
      </c>
      <c r="D350" s="25" t="s">
        <v>1191</v>
      </c>
      <c r="E350" s="25" t="s">
        <v>312</v>
      </c>
      <c r="F350" s="25" t="s">
        <v>1190</v>
      </c>
      <c r="G350" s="25" t="s">
        <v>553</v>
      </c>
      <c r="H350" s="25" t="s">
        <v>1189</v>
      </c>
      <c r="I350" s="27">
        <v>43405</v>
      </c>
      <c r="K350" s="27">
        <v>43465</v>
      </c>
      <c r="L350" s="26">
        <v>-11000</v>
      </c>
      <c r="M350" s="25">
        <v>2000108751</v>
      </c>
      <c r="N350" s="25" t="s">
        <v>1188</v>
      </c>
      <c r="O350" s="25" t="s">
        <v>180</v>
      </c>
      <c r="P350" s="26">
        <v>32</v>
      </c>
      <c r="Q350" s="25" t="s">
        <v>179</v>
      </c>
      <c r="R350" s="25" t="s">
        <v>1177</v>
      </c>
      <c r="S350" s="25" t="s">
        <v>177</v>
      </c>
      <c r="T350" s="25" t="s">
        <v>176</v>
      </c>
      <c r="U350" s="25" t="s">
        <v>175</v>
      </c>
    </row>
    <row r="351" spans="1:21" x14ac:dyDescent="0.2">
      <c r="A351" s="28"/>
      <c r="B351" s="25" t="s">
        <v>1187</v>
      </c>
      <c r="C351" s="25">
        <v>13623893</v>
      </c>
      <c r="D351" s="25" t="s">
        <v>1186</v>
      </c>
      <c r="E351" s="25" t="s">
        <v>312</v>
      </c>
      <c r="F351" s="25" t="s">
        <v>1185</v>
      </c>
      <c r="G351" s="25" t="s">
        <v>553</v>
      </c>
      <c r="H351" s="25" t="s">
        <v>1184</v>
      </c>
      <c r="I351" s="27">
        <v>43405</v>
      </c>
      <c r="K351" s="27">
        <v>43465</v>
      </c>
      <c r="L351" s="26">
        <v>-3571</v>
      </c>
      <c r="M351" s="25">
        <v>2000108751</v>
      </c>
      <c r="N351" s="25" t="s">
        <v>1183</v>
      </c>
      <c r="O351" s="25" t="s">
        <v>180</v>
      </c>
      <c r="P351" s="26">
        <v>32</v>
      </c>
      <c r="Q351" s="25" t="s">
        <v>179</v>
      </c>
      <c r="R351" s="25" t="s">
        <v>1177</v>
      </c>
      <c r="S351" s="25" t="s">
        <v>177</v>
      </c>
      <c r="T351" s="25" t="s">
        <v>176</v>
      </c>
      <c r="U351" s="25" t="s">
        <v>175</v>
      </c>
    </row>
    <row r="352" spans="1:21" x14ac:dyDescent="0.2">
      <c r="A352" s="28"/>
      <c r="B352" s="25" t="s">
        <v>1182</v>
      </c>
      <c r="C352" s="25">
        <v>13510512</v>
      </c>
      <c r="D352" s="25" t="s">
        <v>1181</v>
      </c>
      <c r="E352" s="25" t="s">
        <v>312</v>
      </c>
      <c r="F352" s="25" t="s">
        <v>1180</v>
      </c>
      <c r="G352" s="25" t="s">
        <v>553</v>
      </c>
      <c r="H352" s="25" t="s">
        <v>1179</v>
      </c>
      <c r="I352" s="27">
        <v>43405</v>
      </c>
      <c r="K352" s="27">
        <v>43465</v>
      </c>
      <c r="L352" s="26">
        <v>-15625</v>
      </c>
      <c r="M352" s="25">
        <v>2000108751</v>
      </c>
      <c r="N352" s="25" t="s">
        <v>1178</v>
      </c>
      <c r="O352" s="25" t="s">
        <v>180</v>
      </c>
      <c r="P352" s="26">
        <v>32</v>
      </c>
      <c r="Q352" s="25" t="s">
        <v>179</v>
      </c>
      <c r="R352" s="25" t="s">
        <v>1177</v>
      </c>
      <c r="S352" s="25" t="s">
        <v>177</v>
      </c>
      <c r="T352" s="25" t="s">
        <v>176</v>
      </c>
      <c r="U352" s="25" t="s">
        <v>175</v>
      </c>
    </row>
    <row r="353" spans="1:21" x14ac:dyDescent="0.2">
      <c r="A353" s="28"/>
      <c r="B353" s="25" t="s">
        <v>1176</v>
      </c>
      <c r="C353" s="25" t="s">
        <v>1176</v>
      </c>
      <c r="D353" s="25" t="s">
        <v>939</v>
      </c>
      <c r="E353" s="25" t="s">
        <v>185</v>
      </c>
      <c r="F353" s="25" t="s">
        <v>1175</v>
      </c>
      <c r="G353" s="25" t="s">
        <v>276</v>
      </c>
      <c r="H353" s="25" t="s">
        <v>937</v>
      </c>
      <c r="I353" s="27">
        <v>43531</v>
      </c>
      <c r="K353" s="27">
        <v>43531</v>
      </c>
      <c r="L353" s="26">
        <v>7911826</v>
      </c>
      <c r="M353" s="25">
        <v>2000108751</v>
      </c>
      <c r="N353" s="25" t="s">
        <v>1134</v>
      </c>
      <c r="O353" s="25" t="s">
        <v>271</v>
      </c>
      <c r="P353" s="26">
        <v>26</v>
      </c>
      <c r="Q353" s="25" t="s">
        <v>270</v>
      </c>
      <c r="R353" s="25" t="s">
        <v>935</v>
      </c>
      <c r="S353" s="25" t="s">
        <v>177</v>
      </c>
      <c r="T353" s="25" t="s">
        <v>176</v>
      </c>
      <c r="U353" s="25" t="s">
        <v>175</v>
      </c>
    </row>
    <row r="354" spans="1:21" x14ac:dyDescent="0.2">
      <c r="A354" s="28"/>
      <c r="B354" s="25" t="s">
        <v>1293</v>
      </c>
      <c r="C354" s="25">
        <v>13455539</v>
      </c>
      <c r="D354" s="25" t="s">
        <v>1292</v>
      </c>
      <c r="E354" s="25" t="s">
        <v>185</v>
      </c>
      <c r="F354" s="25" t="s">
        <v>1291</v>
      </c>
      <c r="G354" s="25" t="s">
        <v>183</v>
      </c>
      <c r="H354" s="25" t="s">
        <v>1290</v>
      </c>
      <c r="I354" s="27">
        <v>43097</v>
      </c>
      <c r="K354" s="27">
        <v>43192</v>
      </c>
      <c r="L354" s="26">
        <v>-137601</v>
      </c>
      <c r="M354" s="25">
        <v>2000107109</v>
      </c>
      <c r="N354" s="25" t="s">
        <v>1289</v>
      </c>
      <c r="O354" s="25" t="s">
        <v>180</v>
      </c>
      <c r="P354" s="26">
        <v>398</v>
      </c>
      <c r="Q354" s="25" t="s">
        <v>189</v>
      </c>
      <c r="R354" s="25" t="s">
        <v>1245</v>
      </c>
      <c r="S354" s="25" t="s">
        <v>177</v>
      </c>
      <c r="T354" s="25" t="s">
        <v>176</v>
      </c>
      <c r="U354" s="25" t="s">
        <v>175</v>
      </c>
    </row>
    <row r="355" spans="1:21" x14ac:dyDescent="0.2">
      <c r="A355" s="28"/>
      <c r="B355" s="25" t="s">
        <v>1007</v>
      </c>
      <c r="C355" s="25">
        <v>13678503</v>
      </c>
      <c r="D355" s="25" t="s">
        <v>1285</v>
      </c>
      <c r="E355" s="25" t="s">
        <v>185</v>
      </c>
      <c r="F355" s="25" t="s">
        <v>1288</v>
      </c>
      <c r="G355" s="25" t="s">
        <v>183</v>
      </c>
      <c r="H355" s="25" t="s">
        <v>1287</v>
      </c>
      <c r="I355" s="27">
        <v>43546</v>
      </c>
      <c r="K355" s="27">
        <v>43546</v>
      </c>
      <c r="L355" s="26">
        <v>-25109</v>
      </c>
      <c r="M355" s="25">
        <v>2000107109</v>
      </c>
      <c r="N355" s="25" t="s">
        <v>1023</v>
      </c>
      <c r="O355" s="25" t="s">
        <v>180</v>
      </c>
      <c r="P355" s="26">
        <v>108</v>
      </c>
      <c r="Q355" s="25" t="s">
        <v>535</v>
      </c>
      <c r="R355" s="25" t="s">
        <v>1003</v>
      </c>
      <c r="S355" s="25" t="s">
        <v>177</v>
      </c>
      <c r="T355" s="25" t="s">
        <v>176</v>
      </c>
      <c r="U355" s="25" t="s">
        <v>175</v>
      </c>
    </row>
    <row r="356" spans="1:21" x14ac:dyDescent="0.2">
      <c r="A356" s="28"/>
      <c r="B356" s="25" t="s">
        <v>1286</v>
      </c>
      <c r="C356" s="25" t="s">
        <v>1286</v>
      </c>
      <c r="D356" s="25" t="s">
        <v>1285</v>
      </c>
      <c r="E356" s="25" t="s">
        <v>185</v>
      </c>
      <c r="F356" s="25" t="s">
        <v>1281</v>
      </c>
      <c r="G356" s="25" t="s">
        <v>419</v>
      </c>
      <c r="H356" s="25" t="s">
        <v>1287</v>
      </c>
      <c r="I356" s="27">
        <v>43546</v>
      </c>
      <c r="K356" s="27">
        <v>43546</v>
      </c>
      <c r="L356" s="26">
        <v>162710</v>
      </c>
      <c r="M356" s="25">
        <v>2000107109</v>
      </c>
      <c r="N356" s="25" t="s">
        <v>1284</v>
      </c>
      <c r="O356" s="25" t="s">
        <v>271</v>
      </c>
      <c r="P356" s="26">
        <v>0</v>
      </c>
      <c r="Q356" s="25" t="s">
        <v>535</v>
      </c>
      <c r="R356" s="25" t="s">
        <v>1284</v>
      </c>
      <c r="S356" s="25" t="s">
        <v>177</v>
      </c>
      <c r="T356" s="25" t="s">
        <v>176</v>
      </c>
      <c r="U356" s="25" t="s">
        <v>175</v>
      </c>
    </row>
    <row r="357" spans="1:21" x14ac:dyDescent="0.2">
      <c r="A357" s="28"/>
      <c r="B357" s="25" t="s">
        <v>1286</v>
      </c>
      <c r="C357" s="25" t="s">
        <v>1286</v>
      </c>
      <c r="D357" s="25" t="s">
        <v>1285</v>
      </c>
      <c r="E357" s="25" t="s">
        <v>185</v>
      </c>
      <c r="F357" s="25" t="s">
        <v>1281</v>
      </c>
      <c r="G357" s="25" t="s">
        <v>419</v>
      </c>
      <c r="H357" s="25" t="s">
        <v>818</v>
      </c>
      <c r="I357" s="27">
        <v>43546</v>
      </c>
      <c r="K357" s="27">
        <v>43546</v>
      </c>
      <c r="L357" s="26">
        <v>-162710</v>
      </c>
      <c r="M357" s="25">
        <v>2000107109</v>
      </c>
      <c r="N357" s="25" t="s">
        <v>1284</v>
      </c>
      <c r="O357" s="25" t="s">
        <v>180</v>
      </c>
      <c r="P357" s="26">
        <v>0</v>
      </c>
      <c r="Q357" s="25" t="s">
        <v>535</v>
      </c>
      <c r="R357" s="25" t="s">
        <v>1284</v>
      </c>
      <c r="S357" s="25" t="s">
        <v>177</v>
      </c>
      <c r="T357" s="25" t="s">
        <v>176</v>
      </c>
      <c r="U357" s="25" t="s">
        <v>175</v>
      </c>
    </row>
    <row r="358" spans="1:21" x14ac:dyDescent="0.2">
      <c r="A358" s="28"/>
      <c r="B358" s="25" t="s">
        <v>1283</v>
      </c>
      <c r="C358" s="25" t="s">
        <v>1283</v>
      </c>
      <c r="D358" s="25" t="s">
        <v>816</v>
      </c>
      <c r="E358" s="25" t="s">
        <v>185</v>
      </c>
      <c r="F358" s="25" t="s">
        <v>1282</v>
      </c>
      <c r="G358" s="25" t="s">
        <v>276</v>
      </c>
      <c r="H358" s="25" t="s">
        <v>818</v>
      </c>
      <c r="I358" s="27">
        <v>43531</v>
      </c>
      <c r="K358" s="27">
        <v>43531</v>
      </c>
      <c r="L358" s="26">
        <v>162710</v>
      </c>
      <c r="M358" s="25">
        <v>2000107109</v>
      </c>
      <c r="N358" s="25" t="s">
        <v>1134</v>
      </c>
      <c r="O358" s="25" t="s">
        <v>271</v>
      </c>
      <c r="P358" s="26">
        <v>15</v>
      </c>
      <c r="Q358" s="25" t="s">
        <v>270</v>
      </c>
      <c r="R358" s="25" t="s">
        <v>964</v>
      </c>
      <c r="S358" s="25" t="s">
        <v>177</v>
      </c>
      <c r="T358" s="25" t="s">
        <v>176</v>
      </c>
      <c r="U358" s="25" t="s">
        <v>175</v>
      </c>
    </row>
    <row r="359" spans="1:21" x14ac:dyDescent="0.2">
      <c r="A359" s="28"/>
      <c r="B359" s="25" t="s">
        <v>1305</v>
      </c>
      <c r="C359" s="25">
        <v>13763749</v>
      </c>
      <c r="D359" s="25" t="s">
        <v>1304</v>
      </c>
      <c r="E359" s="25" t="s">
        <v>185</v>
      </c>
      <c r="F359" s="25" t="s">
        <v>1303</v>
      </c>
      <c r="G359" s="25" t="s">
        <v>183</v>
      </c>
      <c r="H359" s="25" t="s">
        <v>1299</v>
      </c>
      <c r="I359" s="27">
        <v>43467</v>
      </c>
      <c r="K359" s="27">
        <v>43502</v>
      </c>
      <c r="L359" s="26">
        <v>-115040</v>
      </c>
      <c r="M359" s="25">
        <v>2000106948</v>
      </c>
      <c r="N359" s="25" t="s">
        <v>1302</v>
      </c>
      <c r="O359" s="25" t="s">
        <v>180</v>
      </c>
      <c r="P359" s="26">
        <v>0</v>
      </c>
      <c r="Q359" s="25" t="s">
        <v>1295</v>
      </c>
      <c r="R359" s="25" t="s">
        <v>250</v>
      </c>
      <c r="S359" s="25" t="s">
        <v>177</v>
      </c>
      <c r="T359" s="25" t="s">
        <v>176</v>
      </c>
      <c r="U359" s="25" t="s">
        <v>175</v>
      </c>
    </row>
    <row r="360" spans="1:21" x14ac:dyDescent="0.2">
      <c r="A360" s="28"/>
      <c r="B360" s="25" t="s">
        <v>1301</v>
      </c>
      <c r="C360" s="25" t="s">
        <v>1301</v>
      </c>
      <c r="D360" s="25" t="s">
        <v>682</v>
      </c>
      <c r="E360" s="25" t="s">
        <v>185</v>
      </c>
      <c r="F360" s="25" t="s">
        <v>1300</v>
      </c>
      <c r="G360" s="25" t="s">
        <v>276</v>
      </c>
      <c r="H360" s="25" t="s">
        <v>683</v>
      </c>
      <c r="I360" s="27">
        <v>43531</v>
      </c>
      <c r="K360" s="27">
        <v>43531</v>
      </c>
      <c r="L360" s="26">
        <v>115040</v>
      </c>
      <c r="M360" s="25">
        <v>2000106948</v>
      </c>
      <c r="N360" s="25" t="s">
        <v>1134</v>
      </c>
      <c r="O360" s="25" t="s">
        <v>271</v>
      </c>
      <c r="P360" s="26">
        <v>1</v>
      </c>
      <c r="Q360" s="25" t="s">
        <v>270</v>
      </c>
      <c r="R360" s="25" t="s">
        <v>1298</v>
      </c>
      <c r="S360" s="25" t="s">
        <v>177</v>
      </c>
      <c r="T360" s="25" t="s">
        <v>176</v>
      </c>
      <c r="U360" s="25" t="s">
        <v>175</v>
      </c>
    </row>
    <row r="361" spans="1:21" x14ac:dyDescent="0.2">
      <c r="A361" s="28"/>
      <c r="B361" s="25" t="s">
        <v>417</v>
      </c>
      <c r="C361" s="25" t="s">
        <v>417</v>
      </c>
      <c r="D361" s="25" t="s">
        <v>1298</v>
      </c>
      <c r="E361" s="25" t="s">
        <v>185</v>
      </c>
      <c r="F361" s="25" t="s">
        <v>1297</v>
      </c>
      <c r="G361" s="25" t="s">
        <v>419</v>
      </c>
      <c r="H361" s="25" t="s">
        <v>1299</v>
      </c>
      <c r="I361" s="27">
        <v>43531</v>
      </c>
      <c r="K361" s="27">
        <v>43532</v>
      </c>
      <c r="L361" s="26">
        <v>115040</v>
      </c>
      <c r="M361" s="25">
        <v>2000106948</v>
      </c>
      <c r="N361" s="25" t="s">
        <v>1296</v>
      </c>
      <c r="O361" s="25" t="s">
        <v>271</v>
      </c>
      <c r="P361" s="26">
        <v>1</v>
      </c>
      <c r="Q361" s="25" t="s">
        <v>1295</v>
      </c>
      <c r="R361" s="25" t="s">
        <v>1294</v>
      </c>
      <c r="S361" s="25" t="s">
        <v>177</v>
      </c>
      <c r="T361" s="25" t="s">
        <v>176</v>
      </c>
      <c r="U361" s="25" t="s">
        <v>175</v>
      </c>
    </row>
    <row r="362" spans="1:21" x14ac:dyDescent="0.2">
      <c r="A362" s="28"/>
      <c r="B362" s="25" t="s">
        <v>417</v>
      </c>
      <c r="C362" s="25" t="s">
        <v>417</v>
      </c>
      <c r="D362" s="25" t="s">
        <v>1298</v>
      </c>
      <c r="E362" s="25" t="s">
        <v>185</v>
      </c>
      <c r="F362" s="25" t="s">
        <v>1297</v>
      </c>
      <c r="G362" s="25" t="s">
        <v>419</v>
      </c>
      <c r="H362" s="25" t="s">
        <v>683</v>
      </c>
      <c r="I362" s="27">
        <v>43531</v>
      </c>
      <c r="K362" s="27">
        <v>43532</v>
      </c>
      <c r="L362" s="26">
        <v>-115040</v>
      </c>
      <c r="M362" s="25">
        <v>2000106948</v>
      </c>
      <c r="N362" s="25" t="s">
        <v>1296</v>
      </c>
      <c r="O362" s="25" t="s">
        <v>180</v>
      </c>
      <c r="P362" s="26">
        <v>1</v>
      </c>
      <c r="Q362" s="25" t="s">
        <v>1295</v>
      </c>
      <c r="R362" s="25" t="s">
        <v>1294</v>
      </c>
      <c r="S362" s="25" t="s">
        <v>177</v>
      </c>
      <c r="T362" s="25" t="s">
        <v>176</v>
      </c>
      <c r="U362" s="25" t="s">
        <v>175</v>
      </c>
    </row>
    <row r="363" spans="1:21" x14ac:dyDescent="0.2">
      <c r="A363" s="28"/>
      <c r="B363" s="25" t="s">
        <v>1075</v>
      </c>
      <c r="C363" s="25">
        <v>13762183</v>
      </c>
      <c r="D363" s="25" t="s">
        <v>1332</v>
      </c>
      <c r="E363" s="25" t="s">
        <v>185</v>
      </c>
      <c r="F363" s="25" t="s">
        <v>1074</v>
      </c>
      <c r="G363" s="25" t="s">
        <v>419</v>
      </c>
      <c r="H363" s="25" t="s">
        <v>652</v>
      </c>
      <c r="I363" s="27">
        <v>43539</v>
      </c>
      <c r="K363" s="27">
        <v>43539</v>
      </c>
      <c r="L363" s="26">
        <v>831019</v>
      </c>
      <c r="M363" s="25">
        <v>2000105702</v>
      </c>
      <c r="N363" s="25" t="s">
        <v>1331</v>
      </c>
      <c r="O363" s="25" t="s">
        <v>271</v>
      </c>
      <c r="P363" s="26">
        <v>0</v>
      </c>
      <c r="Q363" s="25" t="s">
        <v>961</v>
      </c>
      <c r="R363" s="25" t="s">
        <v>1072</v>
      </c>
      <c r="S363" s="25" t="s">
        <v>177</v>
      </c>
      <c r="T363" s="25" t="s">
        <v>176</v>
      </c>
      <c r="U363" s="25" t="s">
        <v>175</v>
      </c>
    </row>
    <row r="364" spans="1:21" x14ac:dyDescent="0.2">
      <c r="A364" s="28"/>
      <c r="B364" s="25" t="s">
        <v>562</v>
      </c>
      <c r="C364" s="25">
        <v>13802351</v>
      </c>
      <c r="D364" s="25" t="s">
        <v>1241</v>
      </c>
      <c r="E364" s="25" t="s">
        <v>185</v>
      </c>
      <c r="F364" s="25" t="s">
        <v>1330</v>
      </c>
      <c r="G364" s="25" t="s">
        <v>183</v>
      </c>
      <c r="H364" s="25" t="s">
        <v>559</v>
      </c>
      <c r="I364" s="27">
        <v>43495</v>
      </c>
      <c r="K364" s="27">
        <v>43502</v>
      </c>
      <c r="L364" s="26">
        <v>-1826986</v>
      </c>
      <c r="M364" s="25">
        <v>2000105702</v>
      </c>
      <c r="N364" s="25" t="s">
        <v>1329</v>
      </c>
      <c r="O364" s="25" t="s">
        <v>180</v>
      </c>
      <c r="P364" s="26">
        <v>7</v>
      </c>
      <c r="Q364" s="25" t="s">
        <v>961</v>
      </c>
      <c r="R364" s="25" t="s">
        <v>244</v>
      </c>
      <c r="S364" s="25" t="s">
        <v>177</v>
      </c>
      <c r="T364" s="25" t="s">
        <v>176</v>
      </c>
      <c r="U364" s="25" t="s">
        <v>175</v>
      </c>
    </row>
    <row r="365" spans="1:21" x14ac:dyDescent="0.2">
      <c r="A365" s="28"/>
      <c r="B365" s="25" t="s">
        <v>1328</v>
      </c>
      <c r="C365" s="25">
        <v>13792738</v>
      </c>
      <c r="D365" s="25" t="s">
        <v>1241</v>
      </c>
      <c r="E365" s="25" t="s">
        <v>185</v>
      </c>
      <c r="F365" s="25" t="s">
        <v>1327</v>
      </c>
      <c r="G365" s="25" t="s">
        <v>183</v>
      </c>
      <c r="H365" s="25" t="s">
        <v>1309</v>
      </c>
      <c r="I365" s="27">
        <v>43495</v>
      </c>
      <c r="K365" s="27">
        <v>43502</v>
      </c>
      <c r="L365" s="26">
        <v>-1645311</v>
      </c>
      <c r="M365" s="25">
        <v>2000105702</v>
      </c>
      <c r="N365" s="25" t="s">
        <v>1326</v>
      </c>
      <c r="O365" s="25" t="s">
        <v>180</v>
      </c>
      <c r="P365" s="26">
        <v>7</v>
      </c>
      <c r="Q365" s="25" t="s">
        <v>961</v>
      </c>
      <c r="R365" s="25" t="s">
        <v>244</v>
      </c>
      <c r="S365" s="25" t="s">
        <v>177</v>
      </c>
      <c r="T365" s="25" t="s">
        <v>176</v>
      </c>
      <c r="U365" s="25" t="s">
        <v>175</v>
      </c>
    </row>
    <row r="366" spans="1:21" x14ac:dyDescent="0.2">
      <c r="A366" s="28"/>
      <c r="B366" s="25" t="s">
        <v>1325</v>
      </c>
      <c r="C366" s="25">
        <v>13751277</v>
      </c>
      <c r="D366" s="25" t="s">
        <v>1002</v>
      </c>
      <c r="E366" s="25" t="s">
        <v>185</v>
      </c>
      <c r="F366" s="25" t="s">
        <v>1324</v>
      </c>
      <c r="G366" s="25" t="s">
        <v>183</v>
      </c>
      <c r="H366" s="25" t="s">
        <v>246</v>
      </c>
      <c r="I366" s="27">
        <v>43487</v>
      </c>
      <c r="K366" s="27">
        <v>43502</v>
      </c>
      <c r="L366" s="26">
        <v>-31300</v>
      </c>
      <c r="M366" s="25">
        <v>2000105702</v>
      </c>
      <c r="N366" s="25" t="s">
        <v>1239</v>
      </c>
      <c r="O366" s="25" t="s">
        <v>180</v>
      </c>
      <c r="P366" s="26">
        <v>7</v>
      </c>
      <c r="Q366" s="25" t="s">
        <v>961</v>
      </c>
      <c r="R366" s="25" t="s">
        <v>244</v>
      </c>
      <c r="S366" s="25" t="s">
        <v>177</v>
      </c>
      <c r="T366" s="25" t="s">
        <v>176</v>
      </c>
      <c r="U366" s="25" t="s">
        <v>175</v>
      </c>
    </row>
    <row r="367" spans="1:21" x14ac:dyDescent="0.2">
      <c r="A367" s="28"/>
      <c r="B367" s="25" t="s">
        <v>1323</v>
      </c>
      <c r="C367" s="25">
        <v>13758241</v>
      </c>
      <c r="D367" s="25" t="s">
        <v>1002</v>
      </c>
      <c r="E367" s="25" t="s">
        <v>185</v>
      </c>
      <c r="F367" s="25" t="s">
        <v>1322</v>
      </c>
      <c r="G367" s="25" t="s">
        <v>183</v>
      </c>
      <c r="H367" s="25" t="s">
        <v>246</v>
      </c>
      <c r="I367" s="27">
        <v>43467</v>
      </c>
      <c r="K367" s="27">
        <v>43502</v>
      </c>
      <c r="L367" s="26">
        <v>-2611423</v>
      </c>
      <c r="M367" s="25">
        <v>2000105702</v>
      </c>
      <c r="N367" s="25" t="s">
        <v>1239</v>
      </c>
      <c r="O367" s="25" t="s">
        <v>180</v>
      </c>
      <c r="P367" s="26">
        <v>7</v>
      </c>
      <c r="Q367" s="25" t="s">
        <v>961</v>
      </c>
      <c r="R367" s="25" t="s">
        <v>244</v>
      </c>
      <c r="S367" s="25" t="s">
        <v>177</v>
      </c>
      <c r="T367" s="25" t="s">
        <v>176</v>
      </c>
      <c r="U367" s="25" t="s">
        <v>175</v>
      </c>
    </row>
    <row r="368" spans="1:21" x14ac:dyDescent="0.2">
      <c r="A368" s="28"/>
      <c r="B368" s="25" t="s">
        <v>1320</v>
      </c>
      <c r="C368" s="25">
        <v>13758251</v>
      </c>
      <c r="D368" s="25" t="s">
        <v>1002</v>
      </c>
      <c r="E368" s="25" t="s">
        <v>185</v>
      </c>
      <c r="F368" s="25" t="s">
        <v>1319</v>
      </c>
      <c r="G368" s="25" t="s">
        <v>183</v>
      </c>
      <c r="H368" s="25" t="s">
        <v>1309</v>
      </c>
      <c r="I368" s="27">
        <v>43467</v>
      </c>
      <c r="K368" s="27">
        <v>43502</v>
      </c>
      <c r="L368" s="26">
        <v>-958873</v>
      </c>
      <c r="M368" s="25">
        <v>2000105702</v>
      </c>
      <c r="N368" s="25" t="s">
        <v>1321</v>
      </c>
      <c r="O368" s="25" t="s">
        <v>180</v>
      </c>
      <c r="P368" s="26">
        <v>7</v>
      </c>
      <c r="Q368" s="25" t="s">
        <v>263</v>
      </c>
      <c r="R368" s="25" t="s">
        <v>244</v>
      </c>
      <c r="S368" s="25" t="s">
        <v>177</v>
      </c>
      <c r="T368" s="25" t="s">
        <v>176</v>
      </c>
      <c r="U368" s="25" t="s">
        <v>175</v>
      </c>
    </row>
    <row r="369" spans="1:21" x14ac:dyDescent="0.2">
      <c r="A369" s="28"/>
      <c r="B369" s="25" t="s">
        <v>1320</v>
      </c>
      <c r="C369" s="25">
        <v>13758251</v>
      </c>
      <c r="D369" s="25" t="s">
        <v>1002</v>
      </c>
      <c r="E369" s="25" t="s">
        <v>185</v>
      </c>
      <c r="F369" s="25" t="s">
        <v>1319</v>
      </c>
      <c r="G369" s="25" t="s">
        <v>183</v>
      </c>
      <c r="H369" s="25" t="s">
        <v>1309</v>
      </c>
      <c r="I369" s="27">
        <v>43467</v>
      </c>
      <c r="K369" s="27">
        <v>43502</v>
      </c>
      <c r="L369" s="26">
        <v>-203884</v>
      </c>
      <c r="M369" s="25">
        <v>2000105702</v>
      </c>
      <c r="N369" s="25" t="s">
        <v>1318</v>
      </c>
      <c r="O369" s="25" t="s">
        <v>180</v>
      </c>
      <c r="P369" s="26">
        <v>-23</v>
      </c>
      <c r="Q369" s="25" t="s">
        <v>263</v>
      </c>
      <c r="R369" s="25" t="s">
        <v>244</v>
      </c>
      <c r="S369" s="25" t="s">
        <v>177</v>
      </c>
      <c r="T369" s="25" t="s">
        <v>176</v>
      </c>
      <c r="U369" s="25" t="s">
        <v>175</v>
      </c>
    </row>
    <row r="370" spans="1:21" x14ac:dyDescent="0.2">
      <c r="A370" s="28"/>
      <c r="B370" s="25" t="s">
        <v>1075</v>
      </c>
      <c r="C370" s="25">
        <v>13762183</v>
      </c>
      <c r="D370" s="25" t="s">
        <v>1002</v>
      </c>
      <c r="E370" s="25" t="s">
        <v>185</v>
      </c>
      <c r="F370" s="25" t="s">
        <v>1317</v>
      </c>
      <c r="G370" s="25" t="s">
        <v>183</v>
      </c>
      <c r="H370" s="25" t="s">
        <v>246</v>
      </c>
      <c r="I370" s="27">
        <v>43467</v>
      </c>
      <c r="K370" s="27">
        <v>43502</v>
      </c>
      <c r="L370" s="26">
        <v>-1897178</v>
      </c>
      <c r="M370" s="25">
        <v>2000105702</v>
      </c>
      <c r="N370" s="25" t="s">
        <v>1316</v>
      </c>
      <c r="O370" s="25" t="s">
        <v>180</v>
      </c>
      <c r="P370" s="26">
        <v>7</v>
      </c>
      <c r="Q370" s="25" t="s">
        <v>263</v>
      </c>
      <c r="R370" s="25" t="s">
        <v>244</v>
      </c>
      <c r="S370" s="25" t="s">
        <v>177</v>
      </c>
      <c r="T370" s="25" t="s">
        <v>176</v>
      </c>
      <c r="U370" s="25" t="s">
        <v>175</v>
      </c>
    </row>
    <row r="371" spans="1:21" x14ac:dyDescent="0.2">
      <c r="A371" s="28"/>
      <c r="B371" s="25" t="s">
        <v>1315</v>
      </c>
      <c r="C371" s="25">
        <v>13764423</v>
      </c>
      <c r="D371" s="25" t="s">
        <v>1002</v>
      </c>
      <c r="E371" s="25" t="s">
        <v>185</v>
      </c>
      <c r="F371" s="25" t="s">
        <v>1314</v>
      </c>
      <c r="G371" s="25" t="s">
        <v>183</v>
      </c>
      <c r="H371" s="25" t="s">
        <v>1309</v>
      </c>
      <c r="I371" s="27">
        <v>43488</v>
      </c>
      <c r="K371" s="27">
        <v>43502</v>
      </c>
      <c r="L371" s="26">
        <v>-68100</v>
      </c>
      <c r="M371" s="25">
        <v>2000105702</v>
      </c>
      <c r="N371" s="25" t="s">
        <v>1308</v>
      </c>
      <c r="O371" s="25" t="s">
        <v>180</v>
      </c>
      <c r="P371" s="26">
        <v>7</v>
      </c>
      <c r="Q371" s="25" t="s">
        <v>263</v>
      </c>
      <c r="R371" s="25" t="s">
        <v>244</v>
      </c>
      <c r="S371" s="25" t="s">
        <v>177</v>
      </c>
      <c r="T371" s="25" t="s">
        <v>176</v>
      </c>
      <c r="U371" s="25" t="s">
        <v>175</v>
      </c>
    </row>
    <row r="372" spans="1:21" x14ac:dyDescent="0.2">
      <c r="A372" s="28"/>
      <c r="B372" s="25" t="s">
        <v>1313</v>
      </c>
      <c r="C372" s="25">
        <v>13766818</v>
      </c>
      <c r="D372" s="25" t="s">
        <v>1002</v>
      </c>
      <c r="E372" s="25" t="s">
        <v>185</v>
      </c>
      <c r="F372" s="25" t="s">
        <v>1312</v>
      </c>
      <c r="G372" s="25" t="s">
        <v>183</v>
      </c>
      <c r="H372" s="25" t="s">
        <v>1309</v>
      </c>
      <c r="I372" s="27">
        <v>43488</v>
      </c>
      <c r="K372" s="27">
        <v>43502</v>
      </c>
      <c r="L372" s="26">
        <v>-305100</v>
      </c>
      <c r="M372" s="25">
        <v>2000105702</v>
      </c>
      <c r="N372" s="25" t="s">
        <v>1308</v>
      </c>
      <c r="O372" s="25" t="s">
        <v>180</v>
      </c>
      <c r="P372" s="26">
        <v>7</v>
      </c>
      <c r="Q372" s="25" t="s">
        <v>263</v>
      </c>
      <c r="R372" s="25" t="s">
        <v>244</v>
      </c>
      <c r="S372" s="25" t="s">
        <v>177</v>
      </c>
      <c r="T372" s="25" t="s">
        <v>176</v>
      </c>
      <c r="U372" s="25" t="s">
        <v>175</v>
      </c>
    </row>
    <row r="373" spans="1:21" x14ac:dyDescent="0.2">
      <c r="A373" s="28"/>
      <c r="B373" s="25" t="s">
        <v>1311</v>
      </c>
      <c r="C373" s="25">
        <v>13773087</v>
      </c>
      <c r="D373" s="25" t="s">
        <v>1002</v>
      </c>
      <c r="E373" s="25" t="s">
        <v>185</v>
      </c>
      <c r="F373" s="25" t="s">
        <v>1310</v>
      </c>
      <c r="G373" s="25" t="s">
        <v>183</v>
      </c>
      <c r="H373" s="25" t="s">
        <v>1309</v>
      </c>
      <c r="I373" s="27">
        <v>43467</v>
      </c>
      <c r="K373" s="27">
        <v>43502</v>
      </c>
      <c r="L373" s="26">
        <v>-45100</v>
      </c>
      <c r="M373" s="25">
        <v>2000105702</v>
      </c>
      <c r="N373" s="25" t="s">
        <v>1308</v>
      </c>
      <c r="O373" s="25" t="s">
        <v>180</v>
      </c>
      <c r="P373" s="26">
        <v>7</v>
      </c>
      <c r="Q373" s="25" t="s">
        <v>263</v>
      </c>
      <c r="R373" s="25" t="s">
        <v>244</v>
      </c>
      <c r="S373" s="25" t="s">
        <v>177</v>
      </c>
      <c r="T373" s="25" t="s">
        <v>176</v>
      </c>
      <c r="U373" s="25" t="s">
        <v>175</v>
      </c>
    </row>
    <row r="374" spans="1:21" x14ac:dyDescent="0.2">
      <c r="A374" s="28"/>
      <c r="B374" s="25" t="s">
        <v>1307</v>
      </c>
      <c r="C374" s="25" t="s">
        <v>1307</v>
      </c>
      <c r="D374" s="25" t="s">
        <v>650</v>
      </c>
      <c r="E374" s="25" t="s">
        <v>185</v>
      </c>
      <c r="F374" s="25" t="s">
        <v>1306</v>
      </c>
      <c r="G374" s="25" t="s">
        <v>276</v>
      </c>
      <c r="H374" s="25" t="s">
        <v>652</v>
      </c>
      <c r="I374" s="27">
        <v>43531</v>
      </c>
      <c r="K374" s="27">
        <v>43531</v>
      </c>
      <c r="L374" s="26">
        <v>8762236</v>
      </c>
      <c r="M374" s="25">
        <v>2000105702</v>
      </c>
      <c r="N374" s="25" t="s">
        <v>1134</v>
      </c>
      <c r="O374" s="25" t="s">
        <v>271</v>
      </c>
      <c r="P374" s="26">
        <v>8</v>
      </c>
      <c r="Q374" s="25" t="s">
        <v>270</v>
      </c>
      <c r="R374" s="25" t="s">
        <v>949</v>
      </c>
      <c r="S374" s="25" t="s">
        <v>177</v>
      </c>
      <c r="T374" s="25" t="s">
        <v>176</v>
      </c>
      <c r="U374" s="25" t="s">
        <v>175</v>
      </c>
    </row>
    <row r="375" spans="1:21" x14ac:dyDescent="0.2">
      <c r="A375" s="28"/>
      <c r="B375" s="25" t="s">
        <v>1336</v>
      </c>
      <c r="C375" s="25" t="s">
        <v>1336</v>
      </c>
      <c r="D375" s="25" t="s">
        <v>1362</v>
      </c>
      <c r="E375" s="25" t="s">
        <v>185</v>
      </c>
      <c r="F375" s="25" t="s">
        <v>1334</v>
      </c>
      <c r="G375" s="25" t="s">
        <v>419</v>
      </c>
      <c r="H375" s="25" t="s">
        <v>694</v>
      </c>
      <c r="I375" s="27">
        <v>43503</v>
      </c>
      <c r="K375" s="27">
        <v>43518</v>
      </c>
      <c r="L375" s="26">
        <v>0</v>
      </c>
      <c r="M375" s="25">
        <v>2000094308</v>
      </c>
      <c r="N375" s="25" t="s">
        <v>417</v>
      </c>
      <c r="O375" s="25" t="s">
        <v>271</v>
      </c>
      <c r="P375" s="26">
        <v>15</v>
      </c>
      <c r="Q375" s="25" t="s">
        <v>557</v>
      </c>
      <c r="R375" s="25" t="s">
        <v>417</v>
      </c>
      <c r="S375" s="25" t="s">
        <v>177</v>
      </c>
      <c r="T375" s="25" t="s">
        <v>176</v>
      </c>
      <c r="U375" s="25" t="s">
        <v>175</v>
      </c>
    </row>
    <row r="376" spans="1:21" x14ac:dyDescent="0.2">
      <c r="A376" s="28"/>
      <c r="B376" s="25" t="s">
        <v>1361</v>
      </c>
      <c r="C376" s="25">
        <v>13505209</v>
      </c>
      <c r="D376" s="25" t="s">
        <v>1360</v>
      </c>
      <c r="E376" s="25" t="s">
        <v>185</v>
      </c>
      <c r="F376" s="25" t="s">
        <v>1359</v>
      </c>
      <c r="G376" s="25" t="s">
        <v>183</v>
      </c>
      <c r="H376" s="25" t="s">
        <v>1235</v>
      </c>
      <c r="I376" s="27">
        <v>43161</v>
      </c>
      <c r="K376" s="27">
        <v>43257</v>
      </c>
      <c r="L376" s="26">
        <v>-1385451</v>
      </c>
      <c r="M376" s="25">
        <v>2000094308</v>
      </c>
      <c r="N376" s="25" t="s">
        <v>1358</v>
      </c>
      <c r="O376" s="25" t="s">
        <v>180</v>
      </c>
      <c r="P376" s="26">
        <v>231</v>
      </c>
      <c r="Q376" s="25" t="s">
        <v>189</v>
      </c>
      <c r="R376" s="25" t="s">
        <v>1337</v>
      </c>
      <c r="S376" s="25" t="s">
        <v>177</v>
      </c>
      <c r="T376" s="25" t="s">
        <v>176</v>
      </c>
      <c r="U376" s="25" t="s">
        <v>175</v>
      </c>
    </row>
    <row r="377" spans="1:21" x14ac:dyDescent="0.2">
      <c r="A377" s="28"/>
      <c r="B377" s="25" t="s">
        <v>1357</v>
      </c>
      <c r="C377" s="25">
        <v>13489345</v>
      </c>
      <c r="D377" s="25" t="s">
        <v>1348</v>
      </c>
      <c r="E377" s="25" t="s">
        <v>185</v>
      </c>
      <c r="F377" s="25" t="s">
        <v>1356</v>
      </c>
      <c r="G377" s="25" t="s">
        <v>183</v>
      </c>
      <c r="H377" s="25" t="s">
        <v>1355</v>
      </c>
      <c r="I377" s="27">
        <v>43145</v>
      </c>
      <c r="K377" s="27">
        <v>43257</v>
      </c>
      <c r="L377" s="26">
        <v>-51300</v>
      </c>
      <c r="M377" s="25">
        <v>2000094308</v>
      </c>
      <c r="N377" s="25" t="s">
        <v>1354</v>
      </c>
      <c r="O377" s="25" t="s">
        <v>180</v>
      </c>
      <c r="P377" s="26">
        <v>231</v>
      </c>
      <c r="Q377" s="25" t="s">
        <v>189</v>
      </c>
      <c r="R377" s="25" t="s">
        <v>1337</v>
      </c>
      <c r="S377" s="25" t="s">
        <v>177</v>
      </c>
      <c r="T377" s="25" t="s">
        <v>176</v>
      </c>
      <c r="U377" s="25" t="s">
        <v>175</v>
      </c>
    </row>
    <row r="378" spans="1:21" x14ac:dyDescent="0.2">
      <c r="A378" s="28"/>
      <c r="B378" s="25" t="s">
        <v>1353</v>
      </c>
      <c r="C378" s="25">
        <v>13490143</v>
      </c>
      <c r="D378" s="25" t="s">
        <v>1348</v>
      </c>
      <c r="E378" s="25" t="s">
        <v>185</v>
      </c>
      <c r="F378" s="25" t="s">
        <v>1352</v>
      </c>
      <c r="G378" s="25" t="s">
        <v>183</v>
      </c>
      <c r="H378" s="25" t="s">
        <v>1351</v>
      </c>
      <c r="I378" s="27">
        <v>43146</v>
      </c>
      <c r="K378" s="27">
        <v>43257</v>
      </c>
      <c r="L378" s="26">
        <v>-85100</v>
      </c>
      <c r="M378" s="25">
        <v>2000094308</v>
      </c>
      <c r="N378" s="25" t="s">
        <v>1350</v>
      </c>
      <c r="O378" s="25" t="s">
        <v>180</v>
      </c>
      <c r="P378" s="26">
        <v>231</v>
      </c>
      <c r="Q378" s="25" t="s">
        <v>189</v>
      </c>
      <c r="R378" s="25" t="s">
        <v>1337</v>
      </c>
      <c r="S378" s="25" t="s">
        <v>177</v>
      </c>
      <c r="T378" s="25" t="s">
        <v>176</v>
      </c>
      <c r="U378" s="25" t="s">
        <v>175</v>
      </c>
    </row>
    <row r="379" spans="1:21" x14ac:dyDescent="0.2">
      <c r="A379" s="28"/>
      <c r="B379" s="25" t="s">
        <v>1349</v>
      </c>
      <c r="C379" s="25">
        <v>13498380</v>
      </c>
      <c r="D379" s="25" t="s">
        <v>1348</v>
      </c>
      <c r="E379" s="25" t="s">
        <v>185</v>
      </c>
      <c r="F379" s="25" t="s">
        <v>1347</v>
      </c>
      <c r="G379" s="25" t="s">
        <v>183</v>
      </c>
      <c r="H379" s="25" t="s">
        <v>1235</v>
      </c>
      <c r="I379" s="27">
        <v>43155</v>
      </c>
      <c r="K379" s="27">
        <v>43257</v>
      </c>
      <c r="L379" s="26">
        <v>-51718</v>
      </c>
      <c r="M379" s="25">
        <v>2000094308</v>
      </c>
      <c r="N379" s="25" t="s">
        <v>1346</v>
      </c>
      <c r="O379" s="25" t="s">
        <v>180</v>
      </c>
      <c r="P379" s="26">
        <v>231</v>
      </c>
      <c r="Q379" s="25" t="s">
        <v>189</v>
      </c>
      <c r="R379" s="25" t="s">
        <v>1337</v>
      </c>
      <c r="S379" s="25" t="s">
        <v>177</v>
      </c>
      <c r="T379" s="25" t="s">
        <v>176</v>
      </c>
      <c r="U379" s="25" t="s">
        <v>175</v>
      </c>
    </row>
    <row r="380" spans="1:21" x14ac:dyDescent="0.2">
      <c r="A380" s="28"/>
      <c r="B380" s="25" t="s">
        <v>1345</v>
      </c>
      <c r="C380" s="25">
        <v>13577635</v>
      </c>
      <c r="D380" s="25" t="s">
        <v>1340</v>
      </c>
      <c r="E380" s="25" t="s">
        <v>185</v>
      </c>
      <c r="F380" s="25" t="s">
        <v>1344</v>
      </c>
      <c r="G380" s="25" t="s">
        <v>183</v>
      </c>
      <c r="H380" s="25" t="s">
        <v>1343</v>
      </c>
      <c r="I380" s="27">
        <v>43237</v>
      </c>
      <c r="K380" s="27">
        <v>43257</v>
      </c>
      <c r="L380" s="26">
        <v>-51300</v>
      </c>
      <c r="M380" s="25">
        <v>2000094308</v>
      </c>
      <c r="N380" s="25" t="s">
        <v>1342</v>
      </c>
      <c r="O380" s="25" t="s">
        <v>180</v>
      </c>
      <c r="P380" s="26">
        <v>231</v>
      </c>
      <c r="Q380" s="25" t="s">
        <v>189</v>
      </c>
      <c r="R380" s="25" t="s">
        <v>1337</v>
      </c>
      <c r="S380" s="25" t="s">
        <v>177</v>
      </c>
      <c r="T380" s="25" t="s">
        <v>176</v>
      </c>
      <c r="U380" s="25" t="s">
        <v>175</v>
      </c>
    </row>
    <row r="381" spans="1:21" x14ac:dyDescent="0.2">
      <c r="A381" s="28"/>
      <c r="B381" s="25" t="s">
        <v>1341</v>
      </c>
      <c r="C381" s="25">
        <v>13590426</v>
      </c>
      <c r="D381" s="25" t="s">
        <v>1340</v>
      </c>
      <c r="E381" s="25" t="s">
        <v>185</v>
      </c>
      <c r="F381" s="25" t="s">
        <v>1339</v>
      </c>
      <c r="G381" s="25" t="s">
        <v>183</v>
      </c>
      <c r="H381" s="25" t="s">
        <v>1235</v>
      </c>
      <c r="I381" s="27">
        <v>43250</v>
      </c>
      <c r="K381" s="27">
        <v>43257</v>
      </c>
      <c r="L381" s="26">
        <v>-52837</v>
      </c>
      <c r="M381" s="25">
        <v>2000094308</v>
      </c>
      <c r="N381" s="25" t="s">
        <v>1338</v>
      </c>
      <c r="O381" s="25" t="s">
        <v>180</v>
      </c>
      <c r="P381" s="26">
        <v>231</v>
      </c>
      <c r="Q381" s="25" t="s">
        <v>189</v>
      </c>
      <c r="R381" s="25" t="s">
        <v>1337</v>
      </c>
      <c r="S381" s="25" t="s">
        <v>177</v>
      </c>
      <c r="T381" s="25" t="s">
        <v>176</v>
      </c>
      <c r="U381" s="25" t="s">
        <v>175</v>
      </c>
    </row>
    <row r="382" spans="1:21" x14ac:dyDescent="0.2">
      <c r="A382" s="28"/>
      <c r="B382" s="25" t="s">
        <v>1336</v>
      </c>
      <c r="C382" s="25" t="s">
        <v>1336</v>
      </c>
      <c r="D382" s="25" t="s">
        <v>693</v>
      </c>
      <c r="E382" s="25" t="s">
        <v>185</v>
      </c>
      <c r="F382" s="25" t="s">
        <v>1335</v>
      </c>
      <c r="G382" s="25" t="s">
        <v>276</v>
      </c>
      <c r="H382" s="25" t="s">
        <v>694</v>
      </c>
      <c r="I382" s="27">
        <v>43503</v>
      </c>
      <c r="K382" s="27">
        <v>43503</v>
      </c>
      <c r="L382" s="26">
        <v>1677706</v>
      </c>
      <c r="M382" s="25">
        <v>2000094308</v>
      </c>
      <c r="N382" s="25" t="s">
        <v>1333</v>
      </c>
      <c r="O382" s="25" t="s">
        <v>271</v>
      </c>
      <c r="P382" s="26">
        <v>15</v>
      </c>
      <c r="Q382" s="25" t="s">
        <v>270</v>
      </c>
      <c r="R382" s="25" t="s">
        <v>693</v>
      </c>
      <c r="S382" s="25" t="s">
        <v>177</v>
      </c>
      <c r="T382" s="25" t="s">
        <v>176</v>
      </c>
      <c r="U382" s="25" t="s">
        <v>175</v>
      </c>
    </row>
    <row r="383" spans="1:21" x14ac:dyDescent="0.2">
      <c r="A383" s="28"/>
      <c r="B383" s="25" t="s">
        <v>1422</v>
      </c>
      <c r="C383" s="25">
        <v>13718505</v>
      </c>
      <c r="D383" s="25" t="s">
        <v>1421</v>
      </c>
      <c r="E383" s="25" t="s">
        <v>185</v>
      </c>
      <c r="F383" s="25" t="s">
        <v>1420</v>
      </c>
      <c r="G383" s="25" t="s">
        <v>183</v>
      </c>
      <c r="H383" s="25" t="s">
        <v>230</v>
      </c>
      <c r="I383" s="27">
        <v>43372</v>
      </c>
      <c r="K383" s="27">
        <v>43409</v>
      </c>
      <c r="L383" s="26">
        <v>-117935</v>
      </c>
      <c r="M383" s="25">
        <v>2000094307</v>
      </c>
      <c r="N383" s="25" t="s">
        <v>1419</v>
      </c>
      <c r="O383" s="25" t="s">
        <v>180</v>
      </c>
      <c r="P383" s="26">
        <v>110</v>
      </c>
      <c r="Q383" s="25" t="s">
        <v>189</v>
      </c>
      <c r="R383" s="25" t="s">
        <v>228</v>
      </c>
      <c r="S383" s="25" t="s">
        <v>177</v>
      </c>
      <c r="T383" s="25" t="s">
        <v>176</v>
      </c>
      <c r="U383" s="25" t="s">
        <v>175</v>
      </c>
    </row>
    <row r="384" spans="1:21" x14ac:dyDescent="0.2">
      <c r="A384" s="28"/>
      <c r="B384" s="25" t="s">
        <v>748</v>
      </c>
      <c r="C384" s="25">
        <v>13686602</v>
      </c>
      <c r="D384" s="25" t="s">
        <v>1418</v>
      </c>
      <c r="E384" s="25" t="s">
        <v>185</v>
      </c>
      <c r="F384" s="25" t="s">
        <v>1417</v>
      </c>
      <c r="G384" s="25" t="s">
        <v>183</v>
      </c>
      <c r="H384" s="25" t="s">
        <v>230</v>
      </c>
      <c r="I384" s="27">
        <v>43343</v>
      </c>
      <c r="K384" s="27">
        <v>43435</v>
      </c>
      <c r="L384" s="26">
        <v>-1670749</v>
      </c>
      <c r="M384" s="25">
        <v>2000094307</v>
      </c>
      <c r="N384" s="25" t="s">
        <v>1416</v>
      </c>
      <c r="O384" s="25" t="s">
        <v>180</v>
      </c>
      <c r="P384" s="26">
        <v>78</v>
      </c>
      <c r="Q384" s="25" t="s">
        <v>189</v>
      </c>
      <c r="R384" s="25" t="s">
        <v>228</v>
      </c>
      <c r="S384" s="25" t="s">
        <v>177</v>
      </c>
      <c r="T384" s="25" t="s">
        <v>176</v>
      </c>
      <c r="U384" s="25" t="s">
        <v>175</v>
      </c>
    </row>
    <row r="385" spans="1:21" x14ac:dyDescent="0.2">
      <c r="A385" s="28"/>
      <c r="B385" s="25" t="s">
        <v>1415</v>
      </c>
      <c r="C385" s="25">
        <v>13441755</v>
      </c>
      <c r="D385" s="25" t="s">
        <v>1414</v>
      </c>
      <c r="E385" s="25" t="s">
        <v>185</v>
      </c>
      <c r="F385" s="25" t="s">
        <v>1413</v>
      </c>
      <c r="G385" s="25" t="s">
        <v>183</v>
      </c>
      <c r="H385" s="25" t="s">
        <v>1412</v>
      </c>
      <c r="I385" s="27">
        <v>43083</v>
      </c>
      <c r="K385" s="27">
        <v>43149</v>
      </c>
      <c r="L385" s="26">
        <v>-55200</v>
      </c>
      <c r="M385" s="25">
        <v>2000094307</v>
      </c>
      <c r="N385" s="25" t="s">
        <v>1411</v>
      </c>
      <c r="O385" s="25" t="s">
        <v>180</v>
      </c>
      <c r="P385" s="26">
        <v>370</v>
      </c>
      <c r="Q385" s="25" t="s">
        <v>189</v>
      </c>
      <c r="R385" s="25" t="s">
        <v>1170</v>
      </c>
      <c r="S385" s="25" t="s">
        <v>177</v>
      </c>
      <c r="T385" s="25" t="s">
        <v>176</v>
      </c>
      <c r="U385" s="25" t="s">
        <v>175</v>
      </c>
    </row>
    <row r="386" spans="1:21" x14ac:dyDescent="0.2">
      <c r="A386" s="28"/>
      <c r="B386" s="25" t="s">
        <v>1365</v>
      </c>
      <c r="C386" s="25" t="s">
        <v>1365</v>
      </c>
      <c r="D386" s="25" t="s">
        <v>1362</v>
      </c>
      <c r="E386" s="25" t="s">
        <v>185</v>
      </c>
      <c r="F386" s="25" t="s">
        <v>1363</v>
      </c>
      <c r="G386" s="25" t="s">
        <v>419</v>
      </c>
      <c r="H386" s="25" t="s">
        <v>726</v>
      </c>
      <c r="I386" s="27">
        <v>43503</v>
      </c>
      <c r="K386" s="27">
        <v>43518</v>
      </c>
      <c r="L386" s="26">
        <v>0</v>
      </c>
      <c r="M386" s="25">
        <v>2000094307</v>
      </c>
      <c r="N386" s="25" t="s">
        <v>417</v>
      </c>
      <c r="O386" s="25" t="s">
        <v>271</v>
      </c>
      <c r="P386" s="26">
        <v>15</v>
      </c>
      <c r="Q386" s="25" t="s">
        <v>557</v>
      </c>
      <c r="R386" s="25" t="s">
        <v>417</v>
      </c>
      <c r="S386" s="25" t="s">
        <v>177</v>
      </c>
      <c r="T386" s="25" t="s">
        <v>176</v>
      </c>
      <c r="U386" s="25" t="s">
        <v>175</v>
      </c>
    </row>
    <row r="387" spans="1:21" x14ac:dyDescent="0.2">
      <c r="A387" s="28"/>
      <c r="B387" s="25" t="s">
        <v>1410</v>
      </c>
      <c r="C387" s="25">
        <v>13541610</v>
      </c>
      <c r="D387" s="25" t="s">
        <v>1403</v>
      </c>
      <c r="E387" s="25" t="s">
        <v>185</v>
      </c>
      <c r="F387" s="25" t="s">
        <v>1409</v>
      </c>
      <c r="G387" s="25" t="s">
        <v>183</v>
      </c>
      <c r="H387" s="25" t="s">
        <v>1373</v>
      </c>
      <c r="I387" s="27">
        <v>43201</v>
      </c>
      <c r="K387" s="27">
        <v>43282</v>
      </c>
      <c r="L387" s="26">
        <v>-101929</v>
      </c>
      <c r="M387" s="25">
        <v>2000094307</v>
      </c>
      <c r="N387" s="25" t="s">
        <v>1408</v>
      </c>
      <c r="O387" s="25" t="s">
        <v>180</v>
      </c>
      <c r="P387" s="26">
        <v>231</v>
      </c>
      <c r="Q387" s="25" t="s">
        <v>189</v>
      </c>
      <c r="R387" s="25" t="s">
        <v>1400</v>
      </c>
      <c r="S387" s="25" t="s">
        <v>177</v>
      </c>
      <c r="T387" s="25" t="s">
        <v>176</v>
      </c>
      <c r="U387" s="25" t="s">
        <v>175</v>
      </c>
    </row>
    <row r="388" spans="1:21" x14ac:dyDescent="0.2">
      <c r="A388" s="28"/>
      <c r="B388" s="25" t="s">
        <v>1407</v>
      </c>
      <c r="C388" s="25">
        <v>13553124</v>
      </c>
      <c r="D388" s="25" t="s">
        <v>1403</v>
      </c>
      <c r="E388" s="25" t="s">
        <v>185</v>
      </c>
      <c r="F388" s="25" t="s">
        <v>1406</v>
      </c>
      <c r="G388" s="25" t="s">
        <v>183</v>
      </c>
      <c r="H388" s="25" t="s">
        <v>265</v>
      </c>
      <c r="I388" s="27">
        <v>43213</v>
      </c>
      <c r="K388" s="27">
        <v>43282</v>
      </c>
      <c r="L388" s="26">
        <v>-51300</v>
      </c>
      <c r="M388" s="25">
        <v>2000094307</v>
      </c>
      <c r="N388" s="25" t="s">
        <v>1405</v>
      </c>
      <c r="O388" s="25" t="s">
        <v>180</v>
      </c>
      <c r="P388" s="26">
        <v>231</v>
      </c>
      <c r="Q388" s="25" t="s">
        <v>189</v>
      </c>
      <c r="R388" s="25" t="s">
        <v>1400</v>
      </c>
      <c r="S388" s="25" t="s">
        <v>177</v>
      </c>
      <c r="T388" s="25" t="s">
        <v>176</v>
      </c>
      <c r="U388" s="25" t="s">
        <v>175</v>
      </c>
    </row>
    <row r="389" spans="1:21" x14ac:dyDescent="0.2">
      <c r="A389" s="28"/>
      <c r="B389" s="25" t="s">
        <v>1404</v>
      </c>
      <c r="C389" s="25">
        <v>13553508</v>
      </c>
      <c r="D389" s="25" t="s">
        <v>1403</v>
      </c>
      <c r="E389" s="25" t="s">
        <v>185</v>
      </c>
      <c r="F389" s="25" t="s">
        <v>1402</v>
      </c>
      <c r="G389" s="25" t="s">
        <v>183</v>
      </c>
      <c r="H389" s="25" t="s">
        <v>235</v>
      </c>
      <c r="I389" s="27">
        <v>43213</v>
      </c>
      <c r="K389" s="27">
        <v>43282</v>
      </c>
      <c r="L389" s="26">
        <v>-89521</v>
      </c>
      <c r="M389" s="25">
        <v>2000094307</v>
      </c>
      <c r="N389" s="25" t="s">
        <v>1401</v>
      </c>
      <c r="O389" s="25" t="s">
        <v>180</v>
      </c>
      <c r="P389" s="26">
        <v>231</v>
      </c>
      <c r="Q389" s="25" t="s">
        <v>189</v>
      </c>
      <c r="R389" s="25" t="s">
        <v>1400</v>
      </c>
      <c r="S389" s="25" t="s">
        <v>177</v>
      </c>
      <c r="T389" s="25" t="s">
        <v>176</v>
      </c>
      <c r="U389" s="25" t="s">
        <v>175</v>
      </c>
    </row>
    <row r="390" spans="1:21" x14ac:dyDescent="0.2">
      <c r="A390" s="28"/>
      <c r="B390" s="25" t="s">
        <v>1399</v>
      </c>
      <c r="C390" s="25">
        <v>13485374</v>
      </c>
      <c r="D390" s="25" t="s">
        <v>1396</v>
      </c>
      <c r="E390" s="25" t="s">
        <v>185</v>
      </c>
      <c r="F390" s="25" t="s">
        <v>1398</v>
      </c>
      <c r="G390" s="25" t="s">
        <v>183</v>
      </c>
      <c r="H390" s="25" t="s">
        <v>750</v>
      </c>
      <c r="I390" s="27">
        <v>43141</v>
      </c>
      <c r="K390" s="27">
        <v>43287</v>
      </c>
      <c r="L390" s="26">
        <v>-154689</v>
      </c>
      <c r="M390" s="25">
        <v>2000094307</v>
      </c>
      <c r="N390" s="25" t="s">
        <v>1384</v>
      </c>
      <c r="O390" s="25" t="s">
        <v>180</v>
      </c>
      <c r="P390" s="26">
        <v>231</v>
      </c>
      <c r="Q390" s="25" t="s">
        <v>189</v>
      </c>
      <c r="R390" s="25" t="s">
        <v>228</v>
      </c>
      <c r="S390" s="25" t="s">
        <v>177</v>
      </c>
      <c r="T390" s="25" t="s">
        <v>176</v>
      </c>
      <c r="U390" s="25" t="s">
        <v>175</v>
      </c>
    </row>
    <row r="391" spans="1:21" x14ac:dyDescent="0.2">
      <c r="A391" s="28"/>
      <c r="B391" s="25" t="s">
        <v>1397</v>
      </c>
      <c r="C391" s="25">
        <v>13490527</v>
      </c>
      <c r="D391" s="25" t="s">
        <v>1396</v>
      </c>
      <c r="E391" s="25" t="s">
        <v>185</v>
      </c>
      <c r="F391" s="25" t="s">
        <v>1395</v>
      </c>
      <c r="G391" s="25" t="s">
        <v>183</v>
      </c>
      <c r="H391" s="25" t="s">
        <v>1394</v>
      </c>
      <c r="I391" s="27">
        <v>43146</v>
      </c>
      <c r="K391" s="27">
        <v>43287</v>
      </c>
      <c r="L391" s="26">
        <v>-270199</v>
      </c>
      <c r="M391" s="25">
        <v>2000094307</v>
      </c>
      <c r="N391" s="25" t="s">
        <v>1393</v>
      </c>
      <c r="O391" s="25" t="s">
        <v>180</v>
      </c>
      <c r="P391" s="26">
        <v>231</v>
      </c>
      <c r="Q391" s="25" t="s">
        <v>189</v>
      </c>
      <c r="R391" s="25" t="s">
        <v>228</v>
      </c>
      <c r="S391" s="25" t="s">
        <v>177</v>
      </c>
      <c r="T391" s="25" t="s">
        <v>176</v>
      </c>
      <c r="U391" s="25" t="s">
        <v>175</v>
      </c>
    </row>
    <row r="392" spans="1:21" x14ac:dyDescent="0.2">
      <c r="A392" s="28"/>
      <c r="B392" s="25" t="s">
        <v>1392</v>
      </c>
      <c r="C392" s="25">
        <v>13562164</v>
      </c>
      <c r="D392" s="25" t="s">
        <v>1389</v>
      </c>
      <c r="E392" s="25" t="s">
        <v>185</v>
      </c>
      <c r="F392" s="25" t="s">
        <v>1391</v>
      </c>
      <c r="G392" s="25" t="s">
        <v>183</v>
      </c>
      <c r="H392" s="25" t="s">
        <v>750</v>
      </c>
      <c r="I392" s="27">
        <v>43220</v>
      </c>
      <c r="K392" s="27">
        <v>43287</v>
      </c>
      <c r="L392" s="26">
        <v>-180467</v>
      </c>
      <c r="M392" s="25">
        <v>2000094307</v>
      </c>
      <c r="N392" s="25" t="s">
        <v>1384</v>
      </c>
      <c r="O392" s="25" t="s">
        <v>180</v>
      </c>
      <c r="P392" s="26">
        <v>231</v>
      </c>
      <c r="Q392" s="25" t="s">
        <v>189</v>
      </c>
      <c r="R392" s="25" t="s">
        <v>228</v>
      </c>
      <c r="S392" s="25" t="s">
        <v>177</v>
      </c>
      <c r="T392" s="25" t="s">
        <v>176</v>
      </c>
      <c r="U392" s="25" t="s">
        <v>175</v>
      </c>
    </row>
    <row r="393" spans="1:21" x14ac:dyDescent="0.2">
      <c r="A393" s="28"/>
      <c r="B393" s="25" t="s">
        <v>1390</v>
      </c>
      <c r="C393" s="25">
        <v>13568934</v>
      </c>
      <c r="D393" s="25" t="s">
        <v>1389</v>
      </c>
      <c r="E393" s="25" t="s">
        <v>185</v>
      </c>
      <c r="F393" s="25" t="s">
        <v>1388</v>
      </c>
      <c r="G393" s="25" t="s">
        <v>183</v>
      </c>
      <c r="H393" s="25" t="s">
        <v>750</v>
      </c>
      <c r="I393" s="27">
        <v>43229</v>
      </c>
      <c r="K393" s="27">
        <v>43288</v>
      </c>
      <c r="L393" s="26">
        <v>-309425</v>
      </c>
      <c r="M393" s="25">
        <v>2000094307</v>
      </c>
      <c r="N393" s="25" t="s">
        <v>1384</v>
      </c>
      <c r="O393" s="25" t="s">
        <v>180</v>
      </c>
      <c r="P393" s="26">
        <v>231</v>
      </c>
      <c r="Q393" s="25" t="s">
        <v>189</v>
      </c>
      <c r="R393" s="25" t="s">
        <v>228</v>
      </c>
      <c r="S393" s="25" t="s">
        <v>177</v>
      </c>
      <c r="T393" s="25" t="s">
        <v>176</v>
      </c>
      <c r="U393" s="25" t="s">
        <v>175</v>
      </c>
    </row>
    <row r="394" spans="1:21" x14ac:dyDescent="0.2">
      <c r="A394" s="28"/>
      <c r="B394" s="25" t="s">
        <v>1387</v>
      </c>
      <c r="C394" s="25">
        <v>13603556</v>
      </c>
      <c r="D394" s="25" t="s">
        <v>1386</v>
      </c>
      <c r="E394" s="25" t="s">
        <v>185</v>
      </c>
      <c r="F394" s="25" t="s">
        <v>1385</v>
      </c>
      <c r="G394" s="25" t="s">
        <v>183</v>
      </c>
      <c r="H394" s="25" t="s">
        <v>750</v>
      </c>
      <c r="I394" s="27">
        <v>43263</v>
      </c>
      <c r="K394" s="27">
        <v>43352</v>
      </c>
      <c r="L394" s="26">
        <v>-172645</v>
      </c>
      <c r="M394" s="25">
        <v>2000094307</v>
      </c>
      <c r="N394" s="25" t="s">
        <v>1384</v>
      </c>
      <c r="O394" s="25" t="s">
        <v>180</v>
      </c>
      <c r="P394" s="26">
        <v>160</v>
      </c>
      <c r="Q394" s="25" t="s">
        <v>189</v>
      </c>
      <c r="R394" s="25" t="s">
        <v>228</v>
      </c>
      <c r="S394" s="25" t="s">
        <v>177</v>
      </c>
      <c r="T394" s="25" t="s">
        <v>176</v>
      </c>
      <c r="U394" s="25" t="s">
        <v>175</v>
      </c>
    </row>
    <row r="395" spans="1:21" x14ac:dyDescent="0.2">
      <c r="A395" s="28"/>
      <c r="B395" s="25" t="s">
        <v>1383</v>
      </c>
      <c r="C395" s="25">
        <v>13529665</v>
      </c>
      <c r="D395" s="25" t="s">
        <v>1379</v>
      </c>
      <c r="E395" s="25" t="s">
        <v>185</v>
      </c>
      <c r="F395" s="25" t="s">
        <v>1382</v>
      </c>
      <c r="G395" s="25" t="s">
        <v>183</v>
      </c>
      <c r="H395" s="25" t="s">
        <v>1373</v>
      </c>
      <c r="I395" s="27">
        <v>43186</v>
      </c>
      <c r="K395" s="27">
        <v>43359</v>
      </c>
      <c r="L395" s="26">
        <v>-119863</v>
      </c>
      <c r="M395" s="25">
        <v>2000094307</v>
      </c>
      <c r="N395" s="25" t="s">
        <v>1381</v>
      </c>
      <c r="O395" s="25" t="s">
        <v>180</v>
      </c>
      <c r="P395" s="26">
        <v>160</v>
      </c>
      <c r="Q395" s="25" t="s">
        <v>189</v>
      </c>
      <c r="R395" s="25" t="s">
        <v>228</v>
      </c>
      <c r="S395" s="25" t="s">
        <v>177</v>
      </c>
      <c r="T395" s="25" t="s">
        <v>176</v>
      </c>
      <c r="U395" s="25" t="s">
        <v>175</v>
      </c>
    </row>
    <row r="396" spans="1:21" x14ac:dyDescent="0.2">
      <c r="A396" s="28"/>
      <c r="B396" s="25" t="s">
        <v>1380</v>
      </c>
      <c r="C396" s="25">
        <v>13531183</v>
      </c>
      <c r="D396" s="25" t="s">
        <v>1379</v>
      </c>
      <c r="E396" s="25" t="s">
        <v>185</v>
      </c>
      <c r="F396" s="25" t="s">
        <v>1378</v>
      </c>
      <c r="G396" s="25" t="s">
        <v>183</v>
      </c>
      <c r="H396" s="25" t="s">
        <v>1373</v>
      </c>
      <c r="I396" s="27">
        <v>43189</v>
      </c>
      <c r="K396" s="27">
        <v>43359</v>
      </c>
      <c r="L396" s="26">
        <v>-444505</v>
      </c>
      <c r="M396" s="25">
        <v>2000094307</v>
      </c>
      <c r="N396" s="25" t="s">
        <v>1372</v>
      </c>
      <c r="O396" s="25" t="s">
        <v>180</v>
      </c>
      <c r="P396" s="26">
        <v>160</v>
      </c>
      <c r="Q396" s="25" t="s">
        <v>189</v>
      </c>
      <c r="R396" s="25" t="s">
        <v>228</v>
      </c>
      <c r="S396" s="25" t="s">
        <v>177</v>
      </c>
      <c r="T396" s="25" t="s">
        <v>176</v>
      </c>
      <c r="U396" s="25" t="s">
        <v>175</v>
      </c>
    </row>
    <row r="397" spans="1:21" x14ac:dyDescent="0.2">
      <c r="A397" s="28"/>
      <c r="B397" s="25" t="s">
        <v>1187</v>
      </c>
      <c r="C397" s="25">
        <v>13623893</v>
      </c>
      <c r="D397" s="25" t="s">
        <v>1368</v>
      </c>
      <c r="E397" s="25" t="s">
        <v>185</v>
      </c>
      <c r="F397" s="25" t="s">
        <v>1377</v>
      </c>
      <c r="G397" s="25" t="s">
        <v>183</v>
      </c>
      <c r="H397" s="25" t="s">
        <v>1184</v>
      </c>
      <c r="I397" s="27">
        <v>43283</v>
      </c>
      <c r="K397" s="27">
        <v>43359</v>
      </c>
      <c r="L397" s="26">
        <v>-61017</v>
      </c>
      <c r="M397" s="25">
        <v>2000094307</v>
      </c>
      <c r="N397" s="25" t="s">
        <v>1376</v>
      </c>
      <c r="O397" s="25" t="s">
        <v>180</v>
      </c>
      <c r="P397" s="26">
        <v>160</v>
      </c>
      <c r="Q397" s="25" t="s">
        <v>189</v>
      </c>
      <c r="R397" s="25" t="s">
        <v>228</v>
      </c>
      <c r="S397" s="25" t="s">
        <v>177</v>
      </c>
      <c r="T397" s="25" t="s">
        <v>176</v>
      </c>
      <c r="U397" s="25" t="s">
        <v>175</v>
      </c>
    </row>
    <row r="398" spans="1:21" x14ac:dyDescent="0.2">
      <c r="A398" s="28"/>
      <c r="B398" s="25" t="s">
        <v>1375</v>
      </c>
      <c r="C398" s="25">
        <v>13628621</v>
      </c>
      <c r="D398" s="25" t="s">
        <v>1368</v>
      </c>
      <c r="E398" s="25" t="s">
        <v>185</v>
      </c>
      <c r="F398" s="25" t="s">
        <v>1374</v>
      </c>
      <c r="G398" s="25" t="s">
        <v>183</v>
      </c>
      <c r="H398" s="25" t="s">
        <v>1373</v>
      </c>
      <c r="I398" s="27">
        <v>43287</v>
      </c>
      <c r="K398" s="27">
        <v>43352</v>
      </c>
      <c r="L398" s="26">
        <v>-128246</v>
      </c>
      <c r="M398" s="25">
        <v>2000094307</v>
      </c>
      <c r="N398" s="25" t="s">
        <v>1372</v>
      </c>
      <c r="O398" s="25" t="s">
        <v>180</v>
      </c>
      <c r="P398" s="26">
        <v>160</v>
      </c>
      <c r="Q398" s="25" t="s">
        <v>189</v>
      </c>
      <c r="R398" s="25" t="s">
        <v>228</v>
      </c>
      <c r="S398" s="25" t="s">
        <v>177</v>
      </c>
      <c r="T398" s="25" t="s">
        <v>176</v>
      </c>
      <c r="U398" s="25" t="s">
        <v>175</v>
      </c>
    </row>
    <row r="399" spans="1:21" x14ac:dyDescent="0.2">
      <c r="A399" s="28"/>
      <c r="B399" s="25" t="s">
        <v>1371</v>
      </c>
      <c r="C399" s="25">
        <v>13642496</v>
      </c>
      <c r="D399" s="25" t="s">
        <v>1368</v>
      </c>
      <c r="E399" s="25" t="s">
        <v>185</v>
      </c>
      <c r="F399" s="25" t="s">
        <v>1370</v>
      </c>
      <c r="G399" s="25" t="s">
        <v>183</v>
      </c>
      <c r="H399" s="25" t="s">
        <v>230</v>
      </c>
      <c r="I399" s="27">
        <v>43300</v>
      </c>
      <c r="K399" s="27">
        <v>43352</v>
      </c>
      <c r="L399" s="26">
        <v>-147461</v>
      </c>
      <c r="M399" s="25">
        <v>2000094307</v>
      </c>
      <c r="N399" s="25" t="s">
        <v>1366</v>
      </c>
      <c r="O399" s="25" t="s">
        <v>180</v>
      </c>
      <c r="P399" s="26">
        <v>160</v>
      </c>
      <c r="Q399" s="25" t="s">
        <v>189</v>
      </c>
      <c r="R399" s="25" t="s">
        <v>228</v>
      </c>
      <c r="S399" s="25" t="s">
        <v>177</v>
      </c>
      <c r="T399" s="25" t="s">
        <v>176</v>
      </c>
      <c r="U399" s="25" t="s">
        <v>175</v>
      </c>
    </row>
    <row r="400" spans="1:21" x14ac:dyDescent="0.2">
      <c r="A400" s="28"/>
      <c r="B400" s="25" t="s">
        <v>1369</v>
      </c>
      <c r="C400" s="25">
        <v>13644718</v>
      </c>
      <c r="D400" s="25" t="s">
        <v>1368</v>
      </c>
      <c r="E400" s="25" t="s">
        <v>185</v>
      </c>
      <c r="F400" s="25" t="s">
        <v>1367</v>
      </c>
      <c r="G400" s="25" t="s">
        <v>183</v>
      </c>
      <c r="H400" s="25" t="s">
        <v>230</v>
      </c>
      <c r="I400" s="27">
        <v>43304</v>
      </c>
      <c r="K400" s="27">
        <v>43352</v>
      </c>
      <c r="L400" s="26">
        <v>-119700</v>
      </c>
      <c r="M400" s="25">
        <v>2000094307</v>
      </c>
      <c r="N400" s="25" t="s">
        <v>1366</v>
      </c>
      <c r="O400" s="25" t="s">
        <v>180</v>
      </c>
      <c r="P400" s="26">
        <v>160</v>
      </c>
      <c r="Q400" s="25" t="s">
        <v>189</v>
      </c>
      <c r="R400" s="25" t="s">
        <v>228</v>
      </c>
      <c r="S400" s="25" t="s">
        <v>177</v>
      </c>
      <c r="T400" s="25" t="s">
        <v>176</v>
      </c>
      <c r="U400" s="25" t="s">
        <v>175</v>
      </c>
    </row>
    <row r="401" spans="1:21" x14ac:dyDescent="0.2">
      <c r="A401" s="28"/>
      <c r="B401" s="25" t="s">
        <v>1365</v>
      </c>
      <c r="C401" s="25" t="s">
        <v>1365</v>
      </c>
      <c r="D401" s="25" t="s">
        <v>724</v>
      </c>
      <c r="E401" s="25" t="s">
        <v>185</v>
      </c>
      <c r="F401" s="25" t="s">
        <v>1364</v>
      </c>
      <c r="G401" s="25" t="s">
        <v>276</v>
      </c>
      <c r="H401" s="25" t="s">
        <v>726</v>
      </c>
      <c r="I401" s="27">
        <v>43503</v>
      </c>
      <c r="K401" s="27">
        <v>43503</v>
      </c>
      <c r="L401" s="26">
        <v>4194851</v>
      </c>
      <c r="M401" s="25">
        <v>2000094307</v>
      </c>
      <c r="N401" s="25" t="s">
        <v>1333</v>
      </c>
      <c r="O401" s="25" t="s">
        <v>271</v>
      </c>
      <c r="P401" s="26">
        <v>15</v>
      </c>
      <c r="Q401" s="25" t="s">
        <v>270</v>
      </c>
      <c r="R401" s="25" t="s">
        <v>724</v>
      </c>
      <c r="S401" s="25" t="s">
        <v>177</v>
      </c>
      <c r="T401" s="25" t="s">
        <v>176</v>
      </c>
      <c r="U401" s="25" t="s">
        <v>175</v>
      </c>
    </row>
    <row r="402" spans="1:21" x14ac:dyDescent="0.2">
      <c r="A402" s="28"/>
      <c r="B402" s="25" t="s">
        <v>1459</v>
      </c>
      <c r="C402" s="25">
        <v>13679446</v>
      </c>
      <c r="D402" s="25" t="s">
        <v>1458</v>
      </c>
      <c r="E402" s="25" t="s">
        <v>185</v>
      </c>
      <c r="F402" s="25" t="s">
        <v>1457</v>
      </c>
      <c r="G402" s="25" t="s">
        <v>419</v>
      </c>
      <c r="H402" s="25" t="s">
        <v>246</v>
      </c>
      <c r="I402" s="27">
        <v>43453</v>
      </c>
      <c r="K402" s="27">
        <v>43453</v>
      </c>
      <c r="L402" s="26">
        <v>-55386</v>
      </c>
      <c r="M402" s="25">
        <v>2000094218</v>
      </c>
      <c r="N402" s="25" t="s">
        <v>1456</v>
      </c>
      <c r="O402" s="25" t="s">
        <v>180</v>
      </c>
      <c r="P402" s="26">
        <v>109</v>
      </c>
      <c r="Q402" s="25" t="s">
        <v>1455</v>
      </c>
      <c r="R402" s="25" t="s">
        <v>1454</v>
      </c>
      <c r="S402" s="25" t="s">
        <v>177</v>
      </c>
      <c r="T402" s="25" t="s">
        <v>176</v>
      </c>
      <c r="U402" s="25" t="s">
        <v>175</v>
      </c>
    </row>
    <row r="403" spans="1:21" x14ac:dyDescent="0.2">
      <c r="A403" s="28"/>
      <c r="B403" s="25" t="s">
        <v>1453</v>
      </c>
      <c r="C403" s="25">
        <v>13722155</v>
      </c>
      <c r="D403" s="25" t="s">
        <v>1430</v>
      </c>
      <c r="E403" s="25" t="s">
        <v>185</v>
      </c>
      <c r="F403" s="25" t="s">
        <v>1452</v>
      </c>
      <c r="G403" s="25" t="s">
        <v>183</v>
      </c>
      <c r="H403" s="25" t="s">
        <v>246</v>
      </c>
      <c r="I403" s="27">
        <v>43376</v>
      </c>
      <c r="K403" s="27">
        <v>43437</v>
      </c>
      <c r="L403" s="26">
        <v>-208500</v>
      </c>
      <c r="M403" s="25">
        <v>2000094218</v>
      </c>
      <c r="N403" s="25" t="s">
        <v>1043</v>
      </c>
      <c r="O403" s="25" t="s">
        <v>180</v>
      </c>
      <c r="P403" s="26">
        <v>77</v>
      </c>
      <c r="Q403" s="25" t="s">
        <v>189</v>
      </c>
      <c r="R403" s="25" t="s">
        <v>244</v>
      </c>
      <c r="S403" s="25" t="s">
        <v>177</v>
      </c>
      <c r="T403" s="25" t="s">
        <v>176</v>
      </c>
      <c r="U403" s="25" t="s">
        <v>175</v>
      </c>
    </row>
    <row r="404" spans="1:21" x14ac:dyDescent="0.2">
      <c r="A404" s="28"/>
      <c r="B404" s="25" t="s">
        <v>1451</v>
      </c>
      <c r="C404" s="25">
        <v>13730567</v>
      </c>
      <c r="D404" s="25" t="s">
        <v>1430</v>
      </c>
      <c r="E404" s="25" t="s">
        <v>185</v>
      </c>
      <c r="F404" s="25" t="s">
        <v>1450</v>
      </c>
      <c r="G404" s="25" t="s">
        <v>183</v>
      </c>
      <c r="H404" s="25" t="s">
        <v>246</v>
      </c>
      <c r="I404" s="27">
        <v>43385</v>
      </c>
      <c r="K404" s="27">
        <v>43437</v>
      </c>
      <c r="L404" s="26">
        <v>-31300</v>
      </c>
      <c r="M404" s="25">
        <v>2000094218</v>
      </c>
      <c r="N404" s="25" t="s">
        <v>1043</v>
      </c>
      <c r="O404" s="25" t="s">
        <v>180</v>
      </c>
      <c r="P404" s="26">
        <v>77</v>
      </c>
      <c r="Q404" s="25" t="s">
        <v>189</v>
      </c>
      <c r="R404" s="25" t="s">
        <v>244</v>
      </c>
      <c r="S404" s="25" t="s">
        <v>177</v>
      </c>
      <c r="T404" s="25" t="s">
        <v>176</v>
      </c>
      <c r="U404" s="25" t="s">
        <v>175</v>
      </c>
    </row>
    <row r="405" spans="1:21" x14ac:dyDescent="0.2">
      <c r="A405" s="28"/>
      <c r="B405" s="25" t="s">
        <v>1449</v>
      </c>
      <c r="C405" s="25">
        <v>13733259</v>
      </c>
      <c r="D405" s="25" t="s">
        <v>1430</v>
      </c>
      <c r="E405" s="25" t="s">
        <v>185</v>
      </c>
      <c r="F405" s="25" t="s">
        <v>1448</v>
      </c>
      <c r="G405" s="25" t="s">
        <v>183</v>
      </c>
      <c r="H405" s="25" t="s">
        <v>246</v>
      </c>
      <c r="I405" s="27">
        <v>43390</v>
      </c>
      <c r="K405" s="27">
        <v>43437</v>
      </c>
      <c r="L405" s="26">
        <v>-169400</v>
      </c>
      <c r="M405" s="25">
        <v>2000094218</v>
      </c>
      <c r="N405" s="25" t="s">
        <v>1043</v>
      </c>
      <c r="O405" s="25" t="s">
        <v>180</v>
      </c>
      <c r="P405" s="26">
        <v>77</v>
      </c>
      <c r="Q405" s="25" t="s">
        <v>189</v>
      </c>
      <c r="R405" s="25" t="s">
        <v>244</v>
      </c>
      <c r="S405" s="25" t="s">
        <v>177</v>
      </c>
      <c r="T405" s="25" t="s">
        <v>176</v>
      </c>
      <c r="U405" s="25" t="s">
        <v>175</v>
      </c>
    </row>
    <row r="406" spans="1:21" x14ac:dyDescent="0.2">
      <c r="A406" s="28"/>
      <c r="B406" s="25" t="s">
        <v>1447</v>
      </c>
      <c r="C406" s="25">
        <v>13735028</v>
      </c>
      <c r="D406" s="25" t="s">
        <v>1430</v>
      </c>
      <c r="E406" s="25" t="s">
        <v>185</v>
      </c>
      <c r="F406" s="25" t="s">
        <v>1446</v>
      </c>
      <c r="G406" s="25" t="s">
        <v>183</v>
      </c>
      <c r="H406" s="25" t="s">
        <v>246</v>
      </c>
      <c r="I406" s="27">
        <v>43391</v>
      </c>
      <c r="K406" s="27">
        <v>43437</v>
      </c>
      <c r="L406" s="26">
        <v>-22700</v>
      </c>
      <c r="M406" s="25">
        <v>2000094218</v>
      </c>
      <c r="N406" s="25" t="s">
        <v>1043</v>
      </c>
      <c r="O406" s="25" t="s">
        <v>180</v>
      </c>
      <c r="P406" s="26">
        <v>77</v>
      </c>
      <c r="Q406" s="25" t="s">
        <v>189</v>
      </c>
      <c r="R406" s="25" t="s">
        <v>244</v>
      </c>
      <c r="S406" s="25" t="s">
        <v>177</v>
      </c>
      <c r="T406" s="25" t="s">
        <v>176</v>
      </c>
      <c r="U406" s="25" t="s">
        <v>175</v>
      </c>
    </row>
    <row r="407" spans="1:21" x14ac:dyDescent="0.2">
      <c r="A407" s="28"/>
      <c r="B407" s="25" t="s">
        <v>1445</v>
      </c>
      <c r="C407" s="25">
        <v>13735600</v>
      </c>
      <c r="D407" s="25" t="s">
        <v>1430</v>
      </c>
      <c r="E407" s="25" t="s">
        <v>185</v>
      </c>
      <c r="F407" s="25" t="s">
        <v>1444</v>
      </c>
      <c r="G407" s="25" t="s">
        <v>183</v>
      </c>
      <c r="H407" s="25" t="s">
        <v>1309</v>
      </c>
      <c r="I407" s="27">
        <v>43392</v>
      </c>
      <c r="K407" s="27">
        <v>43437</v>
      </c>
      <c r="L407" s="26">
        <v>-79400</v>
      </c>
      <c r="M407" s="25">
        <v>2000094218</v>
      </c>
      <c r="N407" s="25" t="s">
        <v>1326</v>
      </c>
      <c r="O407" s="25" t="s">
        <v>180</v>
      </c>
      <c r="P407" s="26">
        <v>77</v>
      </c>
      <c r="Q407" s="25" t="s">
        <v>189</v>
      </c>
      <c r="R407" s="25" t="s">
        <v>244</v>
      </c>
      <c r="S407" s="25" t="s">
        <v>177</v>
      </c>
      <c r="T407" s="25" t="s">
        <v>176</v>
      </c>
      <c r="U407" s="25" t="s">
        <v>175</v>
      </c>
    </row>
    <row r="408" spans="1:21" x14ac:dyDescent="0.2">
      <c r="A408" s="28"/>
      <c r="B408" s="25" t="s">
        <v>1443</v>
      </c>
      <c r="C408" s="25">
        <v>13741043</v>
      </c>
      <c r="D408" s="25" t="s">
        <v>1430</v>
      </c>
      <c r="E408" s="25" t="s">
        <v>185</v>
      </c>
      <c r="F408" s="25" t="s">
        <v>1442</v>
      </c>
      <c r="G408" s="25" t="s">
        <v>183</v>
      </c>
      <c r="H408" s="25" t="s">
        <v>1309</v>
      </c>
      <c r="I408" s="27">
        <v>43398</v>
      </c>
      <c r="K408" s="27">
        <v>43437</v>
      </c>
      <c r="L408" s="26">
        <v>-280929</v>
      </c>
      <c r="M408" s="25">
        <v>2000094218</v>
      </c>
      <c r="N408" s="25" t="s">
        <v>1326</v>
      </c>
      <c r="O408" s="25" t="s">
        <v>180</v>
      </c>
      <c r="P408" s="26">
        <v>77</v>
      </c>
      <c r="Q408" s="25" t="s">
        <v>189</v>
      </c>
      <c r="R408" s="25" t="s">
        <v>244</v>
      </c>
      <c r="S408" s="25" t="s">
        <v>177</v>
      </c>
      <c r="T408" s="25" t="s">
        <v>176</v>
      </c>
      <c r="U408" s="25" t="s">
        <v>175</v>
      </c>
    </row>
    <row r="409" spans="1:21" x14ac:dyDescent="0.2">
      <c r="A409" s="28"/>
      <c r="B409" s="25" t="s">
        <v>1441</v>
      </c>
      <c r="C409" s="25">
        <v>13742496</v>
      </c>
      <c r="D409" s="25" t="s">
        <v>1430</v>
      </c>
      <c r="E409" s="25" t="s">
        <v>185</v>
      </c>
      <c r="F409" s="25" t="s">
        <v>1440</v>
      </c>
      <c r="G409" s="25" t="s">
        <v>183</v>
      </c>
      <c r="H409" s="25" t="s">
        <v>1309</v>
      </c>
      <c r="I409" s="27">
        <v>43399</v>
      </c>
      <c r="K409" s="27">
        <v>43437</v>
      </c>
      <c r="L409" s="26">
        <v>-45100</v>
      </c>
      <c r="M409" s="25">
        <v>2000094218</v>
      </c>
      <c r="N409" s="25" t="s">
        <v>1326</v>
      </c>
      <c r="O409" s="25" t="s">
        <v>180</v>
      </c>
      <c r="P409" s="26">
        <v>77</v>
      </c>
      <c r="Q409" s="25" t="s">
        <v>189</v>
      </c>
      <c r="R409" s="25" t="s">
        <v>244</v>
      </c>
      <c r="S409" s="25" t="s">
        <v>177</v>
      </c>
      <c r="T409" s="25" t="s">
        <v>176</v>
      </c>
      <c r="U409" s="25" t="s">
        <v>175</v>
      </c>
    </row>
    <row r="410" spans="1:21" x14ac:dyDescent="0.2">
      <c r="A410" s="28"/>
      <c r="B410" s="25" t="s">
        <v>1439</v>
      </c>
      <c r="C410" s="25">
        <v>13742956</v>
      </c>
      <c r="D410" s="25" t="s">
        <v>1430</v>
      </c>
      <c r="E410" s="25" t="s">
        <v>185</v>
      </c>
      <c r="F410" s="25" t="s">
        <v>1438</v>
      </c>
      <c r="G410" s="25" t="s">
        <v>183</v>
      </c>
      <c r="H410" s="25" t="s">
        <v>246</v>
      </c>
      <c r="I410" s="27">
        <v>43399</v>
      </c>
      <c r="K410" s="27">
        <v>43437</v>
      </c>
      <c r="L410" s="26">
        <v>-31300</v>
      </c>
      <c r="M410" s="25">
        <v>2000094218</v>
      </c>
      <c r="N410" s="25" t="s">
        <v>1043</v>
      </c>
      <c r="O410" s="25" t="s">
        <v>180</v>
      </c>
      <c r="P410" s="26">
        <v>77</v>
      </c>
      <c r="Q410" s="25" t="s">
        <v>189</v>
      </c>
      <c r="R410" s="25" t="s">
        <v>244</v>
      </c>
      <c r="S410" s="25" t="s">
        <v>177</v>
      </c>
      <c r="T410" s="25" t="s">
        <v>176</v>
      </c>
      <c r="U410" s="25" t="s">
        <v>175</v>
      </c>
    </row>
    <row r="411" spans="1:21" x14ac:dyDescent="0.2">
      <c r="A411" s="28"/>
      <c r="B411" s="25" t="s">
        <v>1437</v>
      </c>
      <c r="C411" s="25">
        <v>13743484</v>
      </c>
      <c r="D411" s="25" t="s">
        <v>1430</v>
      </c>
      <c r="E411" s="25" t="s">
        <v>185</v>
      </c>
      <c r="F411" s="25" t="s">
        <v>1436</v>
      </c>
      <c r="G411" s="25" t="s">
        <v>183</v>
      </c>
      <c r="H411" s="25" t="s">
        <v>246</v>
      </c>
      <c r="I411" s="27">
        <v>43399</v>
      </c>
      <c r="K411" s="27">
        <v>43437</v>
      </c>
      <c r="L411" s="26">
        <v>-1513049</v>
      </c>
      <c r="M411" s="25">
        <v>2000094218</v>
      </c>
      <c r="N411" s="25" t="s">
        <v>1043</v>
      </c>
      <c r="O411" s="25" t="s">
        <v>180</v>
      </c>
      <c r="P411" s="26">
        <v>77</v>
      </c>
      <c r="Q411" s="25" t="s">
        <v>189</v>
      </c>
      <c r="R411" s="25" t="s">
        <v>244</v>
      </c>
      <c r="S411" s="25" t="s">
        <v>177</v>
      </c>
      <c r="T411" s="25" t="s">
        <v>176</v>
      </c>
      <c r="U411" s="25" t="s">
        <v>175</v>
      </c>
    </row>
    <row r="412" spans="1:21" x14ac:dyDescent="0.2">
      <c r="A412" s="28"/>
      <c r="B412" s="25" t="s">
        <v>1435</v>
      </c>
      <c r="C412" s="25">
        <v>13746644</v>
      </c>
      <c r="D412" s="25" t="s">
        <v>1430</v>
      </c>
      <c r="E412" s="25" t="s">
        <v>185</v>
      </c>
      <c r="F412" s="25" t="s">
        <v>1434</v>
      </c>
      <c r="G412" s="25" t="s">
        <v>183</v>
      </c>
      <c r="H412" s="25" t="s">
        <v>1309</v>
      </c>
      <c r="I412" s="27">
        <v>43403</v>
      </c>
      <c r="K412" s="27">
        <v>43437</v>
      </c>
      <c r="L412" s="26">
        <v>-117800</v>
      </c>
      <c r="M412" s="25">
        <v>2000094218</v>
      </c>
      <c r="N412" s="25" t="s">
        <v>1326</v>
      </c>
      <c r="O412" s="25" t="s">
        <v>180</v>
      </c>
      <c r="P412" s="26">
        <v>77</v>
      </c>
      <c r="Q412" s="25" t="s">
        <v>189</v>
      </c>
      <c r="R412" s="25" t="s">
        <v>244</v>
      </c>
      <c r="S412" s="25" t="s">
        <v>177</v>
      </c>
      <c r="T412" s="25" t="s">
        <v>176</v>
      </c>
      <c r="U412" s="25" t="s">
        <v>175</v>
      </c>
    </row>
    <row r="413" spans="1:21" x14ac:dyDescent="0.2">
      <c r="A413" s="28"/>
      <c r="B413" s="25" t="s">
        <v>1433</v>
      </c>
      <c r="C413" s="25">
        <v>13747849</v>
      </c>
      <c r="D413" s="25" t="s">
        <v>1430</v>
      </c>
      <c r="E413" s="25" t="s">
        <v>185</v>
      </c>
      <c r="F413" s="25" t="s">
        <v>1432</v>
      </c>
      <c r="G413" s="25" t="s">
        <v>183</v>
      </c>
      <c r="H413" s="25" t="s">
        <v>246</v>
      </c>
      <c r="I413" s="27">
        <v>43403</v>
      </c>
      <c r="K413" s="27">
        <v>43437</v>
      </c>
      <c r="L413" s="26">
        <v>-74800</v>
      </c>
      <c r="M413" s="25">
        <v>2000094218</v>
      </c>
      <c r="N413" s="25" t="s">
        <v>1043</v>
      </c>
      <c r="O413" s="25" t="s">
        <v>180</v>
      </c>
      <c r="P413" s="26">
        <v>77</v>
      </c>
      <c r="Q413" s="25" t="s">
        <v>189</v>
      </c>
      <c r="R413" s="25" t="s">
        <v>244</v>
      </c>
      <c r="S413" s="25" t="s">
        <v>177</v>
      </c>
      <c r="T413" s="25" t="s">
        <v>176</v>
      </c>
      <c r="U413" s="25" t="s">
        <v>175</v>
      </c>
    </row>
    <row r="414" spans="1:21" x14ac:dyDescent="0.2">
      <c r="A414" s="28"/>
      <c r="B414" s="25" t="s">
        <v>1431</v>
      </c>
      <c r="C414" s="25">
        <v>13643274</v>
      </c>
      <c r="D414" s="25" t="s">
        <v>1430</v>
      </c>
      <c r="E414" s="25" t="s">
        <v>185</v>
      </c>
      <c r="F414" s="25" t="s">
        <v>1429</v>
      </c>
      <c r="G414" s="25" t="s">
        <v>183</v>
      </c>
      <c r="H414" s="25" t="s">
        <v>246</v>
      </c>
      <c r="I414" s="27">
        <v>43302</v>
      </c>
      <c r="K414" s="27">
        <v>43437</v>
      </c>
      <c r="L414" s="26">
        <v>-99856</v>
      </c>
      <c r="M414" s="25">
        <v>2000094218</v>
      </c>
      <c r="N414" s="25" t="s">
        <v>1043</v>
      </c>
      <c r="O414" s="25" t="s">
        <v>180</v>
      </c>
      <c r="P414" s="26">
        <v>77</v>
      </c>
      <c r="Q414" s="25" t="s">
        <v>189</v>
      </c>
      <c r="R414" s="25" t="s">
        <v>244</v>
      </c>
      <c r="S414" s="25" t="s">
        <v>177</v>
      </c>
      <c r="T414" s="25" t="s">
        <v>176</v>
      </c>
      <c r="U414" s="25" t="s">
        <v>175</v>
      </c>
    </row>
    <row r="415" spans="1:21" x14ac:dyDescent="0.2">
      <c r="A415" s="28"/>
      <c r="B415" s="25" t="s">
        <v>417</v>
      </c>
      <c r="C415" s="25" t="s">
        <v>417</v>
      </c>
      <c r="D415" s="25" t="s">
        <v>1428</v>
      </c>
      <c r="E415" s="25" t="s">
        <v>185</v>
      </c>
      <c r="F415" s="25" t="s">
        <v>1423</v>
      </c>
      <c r="G415" s="25" t="s">
        <v>419</v>
      </c>
      <c r="H415" s="25" t="s">
        <v>652</v>
      </c>
      <c r="I415" s="27">
        <v>43517</v>
      </c>
      <c r="K415" s="27">
        <v>43517</v>
      </c>
      <c r="L415" s="26">
        <v>0</v>
      </c>
      <c r="M415" s="25">
        <v>2000094218</v>
      </c>
      <c r="N415" s="25" t="s">
        <v>1427</v>
      </c>
      <c r="O415" s="25" t="s">
        <v>271</v>
      </c>
      <c r="P415" s="26">
        <v>0</v>
      </c>
      <c r="Q415" s="25" t="s">
        <v>961</v>
      </c>
      <c r="R415" s="25" t="s">
        <v>1426</v>
      </c>
      <c r="S415" s="25" t="s">
        <v>177</v>
      </c>
      <c r="T415" s="25" t="s">
        <v>176</v>
      </c>
      <c r="U415" s="25" t="s">
        <v>175</v>
      </c>
    </row>
    <row r="416" spans="1:21" x14ac:dyDescent="0.2">
      <c r="A416" s="28"/>
      <c r="B416" s="25" t="s">
        <v>1425</v>
      </c>
      <c r="C416" s="25" t="s">
        <v>1425</v>
      </c>
      <c r="D416" s="25" t="s">
        <v>650</v>
      </c>
      <c r="E416" s="25" t="s">
        <v>185</v>
      </c>
      <c r="F416" s="25" t="s">
        <v>1424</v>
      </c>
      <c r="G416" s="25" t="s">
        <v>276</v>
      </c>
      <c r="H416" s="25" t="s">
        <v>652</v>
      </c>
      <c r="I416" s="27">
        <v>43503</v>
      </c>
      <c r="K416" s="27">
        <v>43503</v>
      </c>
      <c r="L416" s="26">
        <v>2729520</v>
      </c>
      <c r="M416" s="25">
        <v>2000094218</v>
      </c>
      <c r="N416" s="25" t="s">
        <v>1333</v>
      </c>
      <c r="O416" s="25" t="s">
        <v>271</v>
      </c>
      <c r="P416" s="26">
        <v>14</v>
      </c>
      <c r="Q416" s="25" t="s">
        <v>270</v>
      </c>
      <c r="R416" s="25" t="s">
        <v>650</v>
      </c>
      <c r="S416" s="25" t="s">
        <v>177</v>
      </c>
      <c r="T416" s="25" t="s">
        <v>176</v>
      </c>
      <c r="U416" s="25" t="s">
        <v>175</v>
      </c>
    </row>
    <row r="417" spans="1:21" x14ac:dyDescent="0.2">
      <c r="A417" s="28"/>
      <c r="B417" s="25" t="s">
        <v>1551</v>
      </c>
      <c r="C417" s="25">
        <v>13702614</v>
      </c>
      <c r="D417" s="25" t="s">
        <v>1548</v>
      </c>
      <c r="E417" s="25" t="s">
        <v>185</v>
      </c>
      <c r="F417" s="25" t="s">
        <v>1550</v>
      </c>
      <c r="G417" s="25" t="s">
        <v>183</v>
      </c>
      <c r="H417" s="25" t="s">
        <v>593</v>
      </c>
      <c r="I417" s="27">
        <v>43359</v>
      </c>
      <c r="K417" s="27">
        <v>43378</v>
      </c>
      <c r="L417" s="26">
        <v>-275831</v>
      </c>
      <c r="M417" s="25">
        <v>2000086858</v>
      </c>
      <c r="N417" s="25" t="s">
        <v>1499</v>
      </c>
      <c r="O417" s="25" t="s">
        <v>180</v>
      </c>
      <c r="P417" s="26">
        <v>95</v>
      </c>
      <c r="Q417" s="25" t="s">
        <v>189</v>
      </c>
      <c r="R417" s="25" t="s">
        <v>188</v>
      </c>
      <c r="S417" s="25" t="s">
        <v>177</v>
      </c>
      <c r="T417" s="25" t="s">
        <v>176</v>
      </c>
      <c r="U417" s="25" t="s">
        <v>175</v>
      </c>
    </row>
    <row r="418" spans="1:21" x14ac:dyDescent="0.2">
      <c r="A418" s="28"/>
      <c r="B418" s="25" t="s">
        <v>1549</v>
      </c>
      <c r="C418" s="25">
        <v>13701891</v>
      </c>
      <c r="D418" s="25" t="s">
        <v>1548</v>
      </c>
      <c r="E418" s="25" t="s">
        <v>185</v>
      </c>
      <c r="F418" s="25" t="s">
        <v>1547</v>
      </c>
      <c r="G418" s="25" t="s">
        <v>183</v>
      </c>
      <c r="H418" s="25" t="s">
        <v>443</v>
      </c>
      <c r="I418" s="27">
        <v>43357</v>
      </c>
      <c r="K418" s="27">
        <v>43378</v>
      </c>
      <c r="L418" s="26">
        <v>-71000</v>
      </c>
      <c r="M418" s="25">
        <v>2000086858</v>
      </c>
      <c r="N418" s="25" t="s">
        <v>1546</v>
      </c>
      <c r="O418" s="25" t="s">
        <v>180</v>
      </c>
      <c r="P418" s="26">
        <v>95</v>
      </c>
      <c r="Q418" s="25" t="s">
        <v>189</v>
      </c>
      <c r="R418" s="25" t="s">
        <v>188</v>
      </c>
      <c r="S418" s="25" t="s">
        <v>177</v>
      </c>
      <c r="T418" s="25" t="s">
        <v>176</v>
      </c>
      <c r="U418" s="25" t="s">
        <v>175</v>
      </c>
    </row>
    <row r="419" spans="1:21" x14ac:dyDescent="0.2">
      <c r="A419" s="28"/>
      <c r="B419" s="25" t="s">
        <v>1545</v>
      </c>
      <c r="C419" s="25">
        <v>13737086</v>
      </c>
      <c r="D419" s="25" t="s">
        <v>1542</v>
      </c>
      <c r="E419" s="25" t="s">
        <v>185</v>
      </c>
      <c r="F419" s="25" t="s">
        <v>1544</v>
      </c>
      <c r="G419" s="25" t="s">
        <v>183</v>
      </c>
      <c r="H419" s="25" t="s">
        <v>593</v>
      </c>
      <c r="I419" s="27">
        <v>43394</v>
      </c>
      <c r="K419" s="27">
        <v>43410</v>
      </c>
      <c r="L419" s="26">
        <v>-234523</v>
      </c>
      <c r="M419" s="25">
        <v>2000086858</v>
      </c>
      <c r="N419" s="25" t="s">
        <v>1499</v>
      </c>
      <c r="O419" s="25" t="s">
        <v>180</v>
      </c>
      <c r="P419" s="26">
        <v>63</v>
      </c>
      <c r="Q419" s="25" t="s">
        <v>189</v>
      </c>
      <c r="R419" s="25" t="s">
        <v>421</v>
      </c>
      <c r="S419" s="25" t="s">
        <v>177</v>
      </c>
      <c r="T419" s="25" t="s">
        <v>176</v>
      </c>
      <c r="U419" s="25" t="s">
        <v>175</v>
      </c>
    </row>
    <row r="420" spans="1:21" x14ac:dyDescent="0.2">
      <c r="A420" s="28"/>
      <c r="B420" s="25" t="s">
        <v>1543</v>
      </c>
      <c r="C420" s="25">
        <v>13709568</v>
      </c>
      <c r="D420" s="25" t="s">
        <v>1542</v>
      </c>
      <c r="E420" s="25" t="s">
        <v>185</v>
      </c>
      <c r="F420" s="25" t="s">
        <v>1541</v>
      </c>
      <c r="G420" s="25" t="s">
        <v>183</v>
      </c>
      <c r="H420" s="25" t="s">
        <v>443</v>
      </c>
      <c r="I420" s="27">
        <v>43364</v>
      </c>
      <c r="K420" s="27">
        <v>43410</v>
      </c>
      <c r="L420" s="26">
        <v>-876812</v>
      </c>
      <c r="M420" s="25">
        <v>2000086858</v>
      </c>
      <c r="N420" s="25" t="s">
        <v>1540</v>
      </c>
      <c r="O420" s="25" t="s">
        <v>180</v>
      </c>
      <c r="P420" s="26">
        <v>63</v>
      </c>
      <c r="Q420" s="25" t="s">
        <v>189</v>
      </c>
      <c r="R420" s="25" t="s">
        <v>421</v>
      </c>
      <c r="S420" s="25" t="s">
        <v>177</v>
      </c>
      <c r="T420" s="25" t="s">
        <v>176</v>
      </c>
      <c r="U420" s="25" t="s">
        <v>175</v>
      </c>
    </row>
    <row r="421" spans="1:21" x14ac:dyDescent="0.2">
      <c r="A421" s="28"/>
      <c r="B421" s="25" t="s">
        <v>1539</v>
      </c>
      <c r="C421" s="25">
        <v>13431321</v>
      </c>
      <c r="D421" s="25" t="s">
        <v>1529</v>
      </c>
      <c r="E421" s="25" t="s">
        <v>185</v>
      </c>
      <c r="F421" s="25" t="s">
        <v>1538</v>
      </c>
      <c r="G421" s="25" t="s">
        <v>183</v>
      </c>
      <c r="H421" s="25" t="s">
        <v>443</v>
      </c>
      <c r="I421" s="27">
        <v>43070</v>
      </c>
      <c r="K421" s="27">
        <v>43160</v>
      </c>
      <c r="L421" s="26">
        <v>-86253</v>
      </c>
      <c r="M421" s="25">
        <v>2000086858</v>
      </c>
      <c r="N421" s="25" t="s">
        <v>1537</v>
      </c>
      <c r="O421" s="25" t="s">
        <v>180</v>
      </c>
      <c r="P421" s="26">
        <v>355</v>
      </c>
      <c r="Q421" s="25" t="s">
        <v>189</v>
      </c>
      <c r="R421" s="25" t="s">
        <v>1523</v>
      </c>
      <c r="S421" s="25" t="s">
        <v>177</v>
      </c>
      <c r="T421" s="25" t="s">
        <v>176</v>
      </c>
      <c r="U421" s="25" t="s">
        <v>175</v>
      </c>
    </row>
    <row r="422" spans="1:21" x14ac:dyDescent="0.2">
      <c r="A422" s="28"/>
      <c r="B422" s="25" t="s">
        <v>1536</v>
      </c>
      <c r="C422" s="25">
        <v>13441463</v>
      </c>
      <c r="D422" s="25" t="s">
        <v>1529</v>
      </c>
      <c r="E422" s="25" t="s">
        <v>185</v>
      </c>
      <c r="F422" s="25" t="s">
        <v>1535</v>
      </c>
      <c r="G422" s="25" t="s">
        <v>183</v>
      </c>
      <c r="H422" s="25" t="s">
        <v>423</v>
      </c>
      <c r="I422" s="27">
        <v>43083</v>
      </c>
      <c r="K422" s="27">
        <v>43160</v>
      </c>
      <c r="L422" s="26">
        <v>-68800</v>
      </c>
      <c r="M422" s="25">
        <v>2000086858</v>
      </c>
      <c r="N422" s="25" t="s">
        <v>1534</v>
      </c>
      <c r="O422" s="25" t="s">
        <v>180</v>
      </c>
      <c r="P422" s="26">
        <v>355</v>
      </c>
      <c r="Q422" s="25" t="s">
        <v>189</v>
      </c>
      <c r="R422" s="25" t="s">
        <v>1523</v>
      </c>
      <c r="S422" s="25" t="s">
        <v>177</v>
      </c>
      <c r="T422" s="25" t="s">
        <v>176</v>
      </c>
      <c r="U422" s="25" t="s">
        <v>175</v>
      </c>
    </row>
    <row r="423" spans="1:21" x14ac:dyDescent="0.2">
      <c r="A423" s="28"/>
      <c r="B423" s="25" t="s">
        <v>1533</v>
      </c>
      <c r="C423" s="25">
        <v>13441801</v>
      </c>
      <c r="D423" s="25" t="s">
        <v>1529</v>
      </c>
      <c r="E423" s="25" t="s">
        <v>185</v>
      </c>
      <c r="F423" s="25" t="s">
        <v>1532</v>
      </c>
      <c r="G423" s="25" t="s">
        <v>183</v>
      </c>
      <c r="H423" s="25" t="s">
        <v>1482</v>
      </c>
      <c r="I423" s="27">
        <v>43083</v>
      </c>
      <c r="K423" s="27">
        <v>43160</v>
      </c>
      <c r="L423" s="26">
        <v>-48400</v>
      </c>
      <c r="M423" s="25">
        <v>2000086858</v>
      </c>
      <c r="N423" s="25" t="s">
        <v>1531</v>
      </c>
      <c r="O423" s="25" t="s">
        <v>180</v>
      </c>
      <c r="P423" s="26">
        <v>355</v>
      </c>
      <c r="Q423" s="25" t="s">
        <v>189</v>
      </c>
      <c r="R423" s="25" t="s">
        <v>1523</v>
      </c>
      <c r="S423" s="25" t="s">
        <v>177</v>
      </c>
      <c r="T423" s="25" t="s">
        <v>176</v>
      </c>
      <c r="U423" s="25" t="s">
        <v>175</v>
      </c>
    </row>
    <row r="424" spans="1:21" x14ac:dyDescent="0.2">
      <c r="A424" s="28"/>
      <c r="B424" s="25" t="s">
        <v>1530</v>
      </c>
      <c r="C424" s="25">
        <v>13452584</v>
      </c>
      <c r="D424" s="25" t="s">
        <v>1529</v>
      </c>
      <c r="E424" s="25" t="s">
        <v>185</v>
      </c>
      <c r="F424" s="25" t="s">
        <v>1528</v>
      </c>
      <c r="G424" s="25" t="s">
        <v>183</v>
      </c>
      <c r="H424" s="25" t="s">
        <v>423</v>
      </c>
      <c r="I424" s="27">
        <v>43097</v>
      </c>
      <c r="K424" s="27">
        <v>43160</v>
      </c>
      <c r="L424" s="26">
        <v>-120751</v>
      </c>
      <c r="M424" s="25">
        <v>2000086858</v>
      </c>
      <c r="N424" s="25" t="s">
        <v>1527</v>
      </c>
      <c r="O424" s="25" t="s">
        <v>180</v>
      </c>
      <c r="P424" s="26">
        <v>355</v>
      </c>
      <c r="Q424" s="25" t="s">
        <v>189</v>
      </c>
      <c r="R424" s="25" t="s">
        <v>1523</v>
      </c>
      <c r="S424" s="25" t="s">
        <v>177</v>
      </c>
      <c r="T424" s="25" t="s">
        <v>176</v>
      </c>
      <c r="U424" s="25" t="s">
        <v>175</v>
      </c>
    </row>
    <row r="425" spans="1:21" x14ac:dyDescent="0.2">
      <c r="A425" s="28"/>
      <c r="B425" s="25" t="s">
        <v>1526</v>
      </c>
      <c r="C425" s="25">
        <v>13425078</v>
      </c>
      <c r="D425" s="25" t="s">
        <v>1525</v>
      </c>
      <c r="E425" s="25" t="s">
        <v>185</v>
      </c>
      <c r="F425" s="25" t="s">
        <v>1524</v>
      </c>
      <c r="G425" s="25" t="s">
        <v>183</v>
      </c>
      <c r="H425" s="25" t="s">
        <v>1482</v>
      </c>
      <c r="I425" s="27">
        <v>43063</v>
      </c>
      <c r="K425" s="27">
        <v>43160</v>
      </c>
      <c r="L425" s="26">
        <v>-48400</v>
      </c>
      <c r="M425" s="25">
        <v>2000086858</v>
      </c>
      <c r="N425" s="25" t="s">
        <v>1481</v>
      </c>
      <c r="O425" s="25" t="s">
        <v>180</v>
      </c>
      <c r="P425" s="26">
        <v>355</v>
      </c>
      <c r="Q425" s="25" t="s">
        <v>189</v>
      </c>
      <c r="R425" s="25" t="s">
        <v>1523</v>
      </c>
      <c r="S425" s="25" t="s">
        <v>177</v>
      </c>
      <c r="T425" s="25" t="s">
        <v>176</v>
      </c>
      <c r="U425" s="25" t="s">
        <v>175</v>
      </c>
    </row>
    <row r="426" spans="1:21" x14ac:dyDescent="0.2">
      <c r="A426" s="28"/>
      <c r="B426" s="25" t="s">
        <v>1522</v>
      </c>
      <c r="C426" s="25" t="s">
        <v>1522</v>
      </c>
      <c r="D426" s="25" t="s">
        <v>1521</v>
      </c>
      <c r="E426" s="25" t="s">
        <v>185</v>
      </c>
      <c r="F426" s="25" t="s">
        <v>1460</v>
      </c>
      <c r="G426" s="25" t="s">
        <v>419</v>
      </c>
      <c r="H426" s="25" t="s">
        <v>275</v>
      </c>
      <c r="I426" s="27">
        <v>43503</v>
      </c>
      <c r="K426" s="27">
        <v>43503</v>
      </c>
      <c r="L426" s="26">
        <v>0</v>
      </c>
      <c r="M426" s="25">
        <v>2000086858</v>
      </c>
      <c r="N426" s="25" t="s">
        <v>1520</v>
      </c>
      <c r="O426" s="25" t="s">
        <v>271</v>
      </c>
      <c r="P426" s="26">
        <v>0</v>
      </c>
      <c r="Q426" s="25" t="s">
        <v>281</v>
      </c>
      <c r="R426" s="25" t="s">
        <v>1520</v>
      </c>
      <c r="S426" s="25" t="s">
        <v>177</v>
      </c>
      <c r="T426" s="25" t="s">
        <v>176</v>
      </c>
      <c r="U426" s="25" t="s">
        <v>175</v>
      </c>
    </row>
    <row r="427" spans="1:21" x14ac:dyDescent="0.2">
      <c r="A427" s="28"/>
      <c r="B427" s="25" t="s">
        <v>1519</v>
      </c>
      <c r="C427" s="25">
        <v>13478068</v>
      </c>
      <c r="D427" s="25" t="s">
        <v>1518</v>
      </c>
      <c r="E427" s="25" t="s">
        <v>185</v>
      </c>
      <c r="F427" s="25" t="s">
        <v>1517</v>
      </c>
      <c r="G427" s="25" t="s">
        <v>183</v>
      </c>
      <c r="H427" s="25" t="s">
        <v>423</v>
      </c>
      <c r="I427" s="27">
        <v>43131</v>
      </c>
      <c r="K427" s="27">
        <v>43192</v>
      </c>
      <c r="L427" s="26">
        <v>-204600</v>
      </c>
      <c r="M427" s="25">
        <v>2000086858</v>
      </c>
      <c r="N427" s="25" t="s">
        <v>1516</v>
      </c>
      <c r="O427" s="25" t="s">
        <v>180</v>
      </c>
      <c r="P427" s="26">
        <v>337</v>
      </c>
      <c r="Q427" s="25" t="s">
        <v>189</v>
      </c>
      <c r="R427" s="25" t="s">
        <v>1463</v>
      </c>
      <c r="S427" s="25" t="s">
        <v>177</v>
      </c>
      <c r="T427" s="25" t="s">
        <v>176</v>
      </c>
      <c r="U427" s="25" t="s">
        <v>175</v>
      </c>
    </row>
    <row r="428" spans="1:21" x14ac:dyDescent="0.2">
      <c r="A428" s="28"/>
      <c r="B428" s="25" t="s">
        <v>1515</v>
      </c>
      <c r="C428" s="25">
        <v>13544969</v>
      </c>
      <c r="D428" s="25" t="s">
        <v>1506</v>
      </c>
      <c r="E428" s="25" t="s">
        <v>185</v>
      </c>
      <c r="F428" s="25" t="s">
        <v>1514</v>
      </c>
      <c r="G428" s="25" t="s">
        <v>183</v>
      </c>
      <c r="H428" s="25" t="s">
        <v>1482</v>
      </c>
      <c r="I428" s="27">
        <v>43205</v>
      </c>
      <c r="K428" s="27">
        <v>43282</v>
      </c>
      <c r="L428" s="26">
        <v>-51300</v>
      </c>
      <c r="M428" s="25">
        <v>2000086858</v>
      </c>
      <c r="N428" s="25" t="s">
        <v>1495</v>
      </c>
      <c r="O428" s="25" t="s">
        <v>180</v>
      </c>
      <c r="P428" s="26">
        <v>216</v>
      </c>
      <c r="Q428" s="25" t="s">
        <v>189</v>
      </c>
      <c r="R428" s="25" t="s">
        <v>1463</v>
      </c>
      <c r="S428" s="25" t="s">
        <v>177</v>
      </c>
      <c r="T428" s="25" t="s">
        <v>176</v>
      </c>
      <c r="U428" s="25" t="s">
        <v>175</v>
      </c>
    </row>
    <row r="429" spans="1:21" x14ac:dyDescent="0.2">
      <c r="A429" s="28"/>
      <c r="B429" s="25" t="s">
        <v>1513</v>
      </c>
      <c r="C429" s="25">
        <v>13549009</v>
      </c>
      <c r="D429" s="25" t="s">
        <v>1506</v>
      </c>
      <c r="E429" s="25" t="s">
        <v>185</v>
      </c>
      <c r="F429" s="25" t="s">
        <v>1512</v>
      </c>
      <c r="G429" s="25" t="s">
        <v>183</v>
      </c>
      <c r="H429" s="25" t="s">
        <v>1482</v>
      </c>
      <c r="I429" s="27">
        <v>43208</v>
      </c>
      <c r="K429" s="27">
        <v>43282</v>
      </c>
      <c r="L429" s="26">
        <v>-85100</v>
      </c>
      <c r="M429" s="25">
        <v>2000086858</v>
      </c>
      <c r="N429" s="25" t="s">
        <v>1495</v>
      </c>
      <c r="O429" s="25" t="s">
        <v>180</v>
      </c>
      <c r="P429" s="26">
        <v>216</v>
      </c>
      <c r="Q429" s="25" t="s">
        <v>189</v>
      </c>
      <c r="R429" s="25" t="s">
        <v>1463</v>
      </c>
      <c r="S429" s="25" t="s">
        <v>177</v>
      </c>
      <c r="T429" s="25" t="s">
        <v>176</v>
      </c>
      <c r="U429" s="25" t="s">
        <v>175</v>
      </c>
    </row>
    <row r="430" spans="1:21" x14ac:dyDescent="0.2">
      <c r="A430" s="28"/>
      <c r="B430" s="25" t="s">
        <v>1511</v>
      </c>
      <c r="C430" s="25">
        <v>13554876</v>
      </c>
      <c r="D430" s="25" t="s">
        <v>1506</v>
      </c>
      <c r="E430" s="25" t="s">
        <v>185</v>
      </c>
      <c r="F430" s="25" t="s">
        <v>1510</v>
      </c>
      <c r="G430" s="25" t="s">
        <v>183</v>
      </c>
      <c r="H430" s="25" t="s">
        <v>1482</v>
      </c>
      <c r="I430" s="27">
        <v>43214</v>
      </c>
      <c r="K430" s="27">
        <v>43282</v>
      </c>
      <c r="L430" s="26">
        <v>-232780</v>
      </c>
      <c r="M430" s="25">
        <v>2000086858</v>
      </c>
      <c r="N430" s="25" t="s">
        <v>1495</v>
      </c>
      <c r="O430" s="25" t="s">
        <v>180</v>
      </c>
      <c r="P430" s="26">
        <v>216</v>
      </c>
      <c r="Q430" s="25" t="s">
        <v>189</v>
      </c>
      <c r="R430" s="25" t="s">
        <v>1463</v>
      </c>
      <c r="S430" s="25" t="s">
        <v>177</v>
      </c>
      <c r="T430" s="25" t="s">
        <v>176</v>
      </c>
      <c r="U430" s="25" t="s">
        <v>175</v>
      </c>
    </row>
    <row r="431" spans="1:21" x14ac:dyDescent="0.2">
      <c r="A431" s="28"/>
      <c r="B431" s="25" t="s">
        <v>1509</v>
      </c>
      <c r="C431" s="25">
        <v>13558966</v>
      </c>
      <c r="D431" s="25" t="s">
        <v>1506</v>
      </c>
      <c r="E431" s="25" t="s">
        <v>185</v>
      </c>
      <c r="F431" s="25" t="s">
        <v>1508</v>
      </c>
      <c r="G431" s="25" t="s">
        <v>183</v>
      </c>
      <c r="H431" s="25" t="s">
        <v>1482</v>
      </c>
      <c r="I431" s="27">
        <v>43217</v>
      </c>
      <c r="K431" s="27">
        <v>43282</v>
      </c>
      <c r="L431" s="26">
        <v>-853376</v>
      </c>
      <c r="M431" s="25">
        <v>2000086858</v>
      </c>
      <c r="N431" s="25" t="s">
        <v>1495</v>
      </c>
      <c r="O431" s="25" t="s">
        <v>180</v>
      </c>
      <c r="P431" s="26">
        <v>216</v>
      </c>
      <c r="Q431" s="25" t="s">
        <v>189</v>
      </c>
      <c r="R431" s="25" t="s">
        <v>1463</v>
      </c>
      <c r="S431" s="25" t="s">
        <v>177</v>
      </c>
      <c r="T431" s="25" t="s">
        <v>176</v>
      </c>
      <c r="U431" s="25" t="s">
        <v>175</v>
      </c>
    </row>
    <row r="432" spans="1:21" x14ac:dyDescent="0.2">
      <c r="A432" s="28"/>
      <c r="B432" s="25" t="s">
        <v>1507</v>
      </c>
      <c r="C432" s="25">
        <v>13561344</v>
      </c>
      <c r="D432" s="25" t="s">
        <v>1506</v>
      </c>
      <c r="E432" s="25" t="s">
        <v>185</v>
      </c>
      <c r="F432" s="25" t="s">
        <v>1505</v>
      </c>
      <c r="G432" s="25" t="s">
        <v>183</v>
      </c>
      <c r="H432" s="25" t="s">
        <v>1482</v>
      </c>
      <c r="I432" s="27">
        <v>43220</v>
      </c>
      <c r="K432" s="27">
        <v>43282</v>
      </c>
      <c r="L432" s="26">
        <v>-635869</v>
      </c>
      <c r="M432" s="25">
        <v>2000086858</v>
      </c>
      <c r="N432" s="25" t="s">
        <v>1504</v>
      </c>
      <c r="O432" s="25" t="s">
        <v>180</v>
      </c>
      <c r="P432" s="26">
        <v>216</v>
      </c>
      <c r="Q432" s="25" t="s">
        <v>189</v>
      </c>
      <c r="R432" s="25" t="s">
        <v>1463</v>
      </c>
      <c r="S432" s="25" t="s">
        <v>177</v>
      </c>
      <c r="T432" s="25" t="s">
        <v>176</v>
      </c>
      <c r="U432" s="25" t="s">
        <v>175</v>
      </c>
    </row>
    <row r="433" spans="1:21" x14ac:dyDescent="0.2">
      <c r="A433" s="28"/>
      <c r="B433" s="25" t="s">
        <v>1503</v>
      </c>
      <c r="C433" s="25">
        <v>13491205</v>
      </c>
      <c r="D433" s="25" t="s">
        <v>1497</v>
      </c>
      <c r="E433" s="25" t="s">
        <v>185</v>
      </c>
      <c r="F433" s="25" t="s">
        <v>1502</v>
      </c>
      <c r="G433" s="25" t="s">
        <v>183</v>
      </c>
      <c r="H433" s="25" t="s">
        <v>593</v>
      </c>
      <c r="I433" s="27">
        <v>43147</v>
      </c>
      <c r="K433" s="27">
        <v>43284</v>
      </c>
      <c r="L433" s="26">
        <v>-248785</v>
      </c>
      <c r="M433" s="25">
        <v>2000086858</v>
      </c>
      <c r="N433" s="25" t="s">
        <v>1499</v>
      </c>
      <c r="O433" s="25" t="s">
        <v>180</v>
      </c>
      <c r="P433" s="26">
        <v>216</v>
      </c>
      <c r="Q433" s="25" t="s">
        <v>189</v>
      </c>
      <c r="R433" s="25" t="s">
        <v>1494</v>
      </c>
      <c r="S433" s="25" t="s">
        <v>177</v>
      </c>
      <c r="T433" s="25" t="s">
        <v>176</v>
      </c>
      <c r="U433" s="25" t="s">
        <v>175</v>
      </c>
    </row>
    <row r="434" spans="1:21" x14ac:dyDescent="0.2">
      <c r="A434" s="28"/>
      <c r="B434" s="25" t="s">
        <v>1501</v>
      </c>
      <c r="C434" s="25">
        <v>13489274</v>
      </c>
      <c r="D434" s="25" t="s">
        <v>1497</v>
      </c>
      <c r="E434" s="25" t="s">
        <v>185</v>
      </c>
      <c r="F434" s="25" t="s">
        <v>1500</v>
      </c>
      <c r="G434" s="25" t="s">
        <v>183</v>
      </c>
      <c r="H434" s="25" t="s">
        <v>593</v>
      </c>
      <c r="I434" s="27">
        <v>43145</v>
      </c>
      <c r="K434" s="27">
        <v>43284</v>
      </c>
      <c r="L434" s="26">
        <v>-54006</v>
      </c>
      <c r="M434" s="25">
        <v>2000086858</v>
      </c>
      <c r="N434" s="25" t="s">
        <v>1499</v>
      </c>
      <c r="O434" s="25" t="s">
        <v>180</v>
      </c>
      <c r="P434" s="26">
        <v>216</v>
      </c>
      <c r="Q434" s="25" t="s">
        <v>189</v>
      </c>
      <c r="R434" s="25" t="s">
        <v>1494</v>
      </c>
      <c r="S434" s="25" t="s">
        <v>177</v>
      </c>
      <c r="T434" s="25" t="s">
        <v>176</v>
      </c>
      <c r="U434" s="25" t="s">
        <v>175</v>
      </c>
    </row>
    <row r="435" spans="1:21" x14ac:dyDescent="0.2">
      <c r="A435" s="28"/>
      <c r="B435" s="25" t="s">
        <v>1498</v>
      </c>
      <c r="C435" s="25">
        <v>13486932</v>
      </c>
      <c r="D435" s="25" t="s">
        <v>1497</v>
      </c>
      <c r="E435" s="25" t="s">
        <v>185</v>
      </c>
      <c r="F435" s="25" t="s">
        <v>1496</v>
      </c>
      <c r="G435" s="25" t="s">
        <v>183</v>
      </c>
      <c r="H435" s="25" t="s">
        <v>1482</v>
      </c>
      <c r="I435" s="27">
        <v>43143</v>
      </c>
      <c r="K435" s="27">
        <v>43284</v>
      </c>
      <c r="L435" s="26">
        <v>-51300</v>
      </c>
      <c r="M435" s="25">
        <v>2000086858</v>
      </c>
      <c r="N435" s="25" t="s">
        <v>1495</v>
      </c>
      <c r="O435" s="25" t="s">
        <v>180</v>
      </c>
      <c r="P435" s="26">
        <v>216</v>
      </c>
      <c r="Q435" s="25" t="s">
        <v>189</v>
      </c>
      <c r="R435" s="25" t="s">
        <v>1494</v>
      </c>
      <c r="S435" s="25" t="s">
        <v>177</v>
      </c>
      <c r="T435" s="25" t="s">
        <v>176</v>
      </c>
      <c r="U435" s="25" t="s">
        <v>175</v>
      </c>
    </row>
    <row r="436" spans="1:21" x14ac:dyDescent="0.2">
      <c r="A436" s="28"/>
      <c r="B436" s="25" t="s">
        <v>1493</v>
      </c>
      <c r="C436" s="25">
        <v>13473786</v>
      </c>
      <c r="D436" s="25" t="s">
        <v>1492</v>
      </c>
      <c r="E436" s="25" t="s">
        <v>185</v>
      </c>
      <c r="F436" s="25" t="s">
        <v>1491</v>
      </c>
      <c r="G436" s="25" t="s">
        <v>183</v>
      </c>
      <c r="H436" s="25" t="s">
        <v>1490</v>
      </c>
      <c r="I436" s="27">
        <v>43126</v>
      </c>
      <c r="K436" s="27">
        <v>43284</v>
      </c>
      <c r="L436" s="26">
        <v>-870132</v>
      </c>
      <c r="M436" s="25">
        <v>2000086858</v>
      </c>
      <c r="N436" s="25" t="s">
        <v>1489</v>
      </c>
      <c r="O436" s="25" t="s">
        <v>180</v>
      </c>
      <c r="P436" s="26">
        <v>216</v>
      </c>
      <c r="Q436" s="25" t="s">
        <v>189</v>
      </c>
      <c r="R436" s="25" t="s">
        <v>1463</v>
      </c>
      <c r="S436" s="25" t="s">
        <v>177</v>
      </c>
      <c r="T436" s="25" t="s">
        <v>176</v>
      </c>
      <c r="U436" s="25" t="s">
        <v>175</v>
      </c>
    </row>
    <row r="437" spans="1:21" x14ac:dyDescent="0.2">
      <c r="A437" s="28"/>
      <c r="B437" s="25" t="s">
        <v>1488</v>
      </c>
      <c r="C437" s="25">
        <v>13611177</v>
      </c>
      <c r="D437" s="25" t="s">
        <v>1487</v>
      </c>
      <c r="E437" s="25" t="s">
        <v>185</v>
      </c>
      <c r="F437" s="25" t="s">
        <v>1486</v>
      </c>
      <c r="G437" s="25" t="s">
        <v>183</v>
      </c>
      <c r="H437" s="25" t="s">
        <v>593</v>
      </c>
      <c r="I437" s="27">
        <v>43271</v>
      </c>
      <c r="K437" s="27">
        <v>43328</v>
      </c>
      <c r="L437" s="26">
        <v>-94992</v>
      </c>
      <c r="M437" s="25">
        <v>2000086858</v>
      </c>
      <c r="N437" s="25" t="s">
        <v>1485</v>
      </c>
      <c r="O437" s="25" t="s">
        <v>180</v>
      </c>
      <c r="P437" s="26">
        <v>145</v>
      </c>
      <c r="Q437" s="25" t="s">
        <v>189</v>
      </c>
      <c r="R437" s="25" t="s">
        <v>421</v>
      </c>
      <c r="S437" s="25" t="s">
        <v>177</v>
      </c>
      <c r="T437" s="25" t="s">
        <v>176</v>
      </c>
      <c r="U437" s="25" t="s">
        <v>175</v>
      </c>
    </row>
    <row r="438" spans="1:21" x14ac:dyDescent="0.2">
      <c r="A438" s="28"/>
      <c r="B438" s="25" t="s">
        <v>1484</v>
      </c>
      <c r="C438" s="25">
        <v>13522742</v>
      </c>
      <c r="D438" s="25" t="s">
        <v>1474</v>
      </c>
      <c r="E438" s="25" t="s">
        <v>185</v>
      </c>
      <c r="F438" s="25" t="s">
        <v>1483</v>
      </c>
      <c r="G438" s="25" t="s">
        <v>183</v>
      </c>
      <c r="H438" s="25" t="s">
        <v>1482</v>
      </c>
      <c r="I438" s="27">
        <v>43180</v>
      </c>
      <c r="K438" s="27">
        <v>43328</v>
      </c>
      <c r="L438" s="26">
        <v>-51781</v>
      </c>
      <c r="M438" s="25">
        <v>2000086858</v>
      </c>
      <c r="N438" s="25" t="s">
        <v>1481</v>
      </c>
      <c r="O438" s="25" t="s">
        <v>180</v>
      </c>
      <c r="P438" s="26">
        <v>145</v>
      </c>
      <c r="Q438" s="25" t="s">
        <v>189</v>
      </c>
      <c r="R438" s="25" t="s">
        <v>188</v>
      </c>
      <c r="S438" s="25" t="s">
        <v>177</v>
      </c>
      <c r="T438" s="25" t="s">
        <v>176</v>
      </c>
      <c r="U438" s="25" t="s">
        <v>175</v>
      </c>
    </row>
    <row r="439" spans="1:21" x14ac:dyDescent="0.2">
      <c r="A439" s="28"/>
      <c r="B439" s="25" t="s">
        <v>1480</v>
      </c>
      <c r="C439" s="25">
        <v>13510614</v>
      </c>
      <c r="D439" s="25" t="s">
        <v>1474</v>
      </c>
      <c r="E439" s="25" t="s">
        <v>185</v>
      </c>
      <c r="F439" s="25" t="s">
        <v>1479</v>
      </c>
      <c r="G439" s="25" t="s">
        <v>183</v>
      </c>
      <c r="H439" s="25" t="s">
        <v>443</v>
      </c>
      <c r="I439" s="27">
        <v>43167</v>
      </c>
      <c r="K439" s="27">
        <v>43328</v>
      </c>
      <c r="L439" s="26">
        <v>-205151</v>
      </c>
      <c r="M439" s="25">
        <v>2000086858</v>
      </c>
      <c r="N439" s="25" t="s">
        <v>1478</v>
      </c>
      <c r="O439" s="25" t="s">
        <v>180</v>
      </c>
      <c r="P439" s="26">
        <v>145</v>
      </c>
      <c r="Q439" s="25" t="s">
        <v>189</v>
      </c>
      <c r="R439" s="25" t="s">
        <v>188</v>
      </c>
      <c r="S439" s="25" t="s">
        <v>177</v>
      </c>
      <c r="T439" s="25" t="s">
        <v>176</v>
      </c>
      <c r="U439" s="25" t="s">
        <v>175</v>
      </c>
    </row>
    <row r="440" spans="1:21" x14ac:dyDescent="0.2">
      <c r="A440" s="28"/>
      <c r="B440" s="25" t="s">
        <v>1477</v>
      </c>
      <c r="C440" s="25">
        <v>13507063</v>
      </c>
      <c r="D440" s="25" t="s">
        <v>1474</v>
      </c>
      <c r="E440" s="25" t="s">
        <v>185</v>
      </c>
      <c r="F440" s="25" t="s">
        <v>1476</v>
      </c>
      <c r="G440" s="25" t="s">
        <v>183</v>
      </c>
      <c r="H440" s="25" t="s">
        <v>1179</v>
      </c>
      <c r="I440" s="27">
        <v>43164</v>
      </c>
      <c r="K440" s="27">
        <v>43328</v>
      </c>
      <c r="L440" s="26">
        <v>-105086</v>
      </c>
      <c r="M440" s="25">
        <v>2000086858</v>
      </c>
      <c r="N440" s="25" t="s">
        <v>1475</v>
      </c>
      <c r="O440" s="25" t="s">
        <v>180</v>
      </c>
      <c r="P440" s="26">
        <v>145</v>
      </c>
      <c r="Q440" s="25" t="s">
        <v>189</v>
      </c>
      <c r="R440" s="25" t="s">
        <v>188</v>
      </c>
      <c r="S440" s="25" t="s">
        <v>177</v>
      </c>
      <c r="T440" s="25" t="s">
        <v>176</v>
      </c>
      <c r="U440" s="25" t="s">
        <v>175</v>
      </c>
    </row>
    <row r="441" spans="1:21" x14ac:dyDescent="0.2">
      <c r="A441" s="28"/>
      <c r="B441" s="25" t="s">
        <v>1182</v>
      </c>
      <c r="C441" s="25">
        <v>13510512</v>
      </c>
      <c r="D441" s="25" t="s">
        <v>1474</v>
      </c>
      <c r="E441" s="25" t="s">
        <v>185</v>
      </c>
      <c r="F441" s="25" t="s">
        <v>1473</v>
      </c>
      <c r="G441" s="25" t="s">
        <v>183</v>
      </c>
      <c r="H441" s="25" t="s">
        <v>1179</v>
      </c>
      <c r="I441" s="27">
        <v>43167</v>
      </c>
      <c r="K441" s="27">
        <v>43328</v>
      </c>
      <c r="L441" s="26">
        <v>-1458015</v>
      </c>
      <c r="M441" s="25">
        <v>2000086858</v>
      </c>
      <c r="N441" s="25" t="s">
        <v>1472</v>
      </c>
      <c r="O441" s="25" t="s">
        <v>180</v>
      </c>
      <c r="P441" s="26">
        <v>145</v>
      </c>
      <c r="Q441" s="25" t="s">
        <v>189</v>
      </c>
      <c r="R441" s="25" t="s">
        <v>188</v>
      </c>
      <c r="S441" s="25" t="s">
        <v>177</v>
      </c>
      <c r="T441" s="25" t="s">
        <v>176</v>
      </c>
      <c r="U441" s="25" t="s">
        <v>175</v>
      </c>
    </row>
    <row r="442" spans="1:21" x14ac:dyDescent="0.2">
      <c r="A442" s="28"/>
      <c r="B442" s="25" t="s">
        <v>1471</v>
      </c>
      <c r="C442" s="25">
        <v>13524462</v>
      </c>
      <c r="D442" s="25" t="s">
        <v>1470</v>
      </c>
      <c r="E442" s="25" t="s">
        <v>185</v>
      </c>
      <c r="F442" s="25" t="s">
        <v>1469</v>
      </c>
      <c r="G442" s="25" t="s">
        <v>183</v>
      </c>
      <c r="H442" s="25" t="s">
        <v>443</v>
      </c>
      <c r="I442" s="27">
        <v>43181</v>
      </c>
      <c r="K442" s="27">
        <v>43328</v>
      </c>
      <c r="L442" s="26">
        <v>-51300</v>
      </c>
      <c r="M442" s="25">
        <v>2000086858</v>
      </c>
      <c r="N442" s="25" t="s">
        <v>1468</v>
      </c>
      <c r="O442" s="25" t="s">
        <v>180</v>
      </c>
      <c r="P442" s="26">
        <v>145</v>
      </c>
      <c r="Q442" s="25" t="s">
        <v>189</v>
      </c>
      <c r="R442" s="25" t="s">
        <v>421</v>
      </c>
      <c r="S442" s="25" t="s">
        <v>177</v>
      </c>
      <c r="T442" s="25" t="s">
        <v>176</v>
      </c>
      <c r="U442" s="25" t="s">
        <v>175</v>
      </c>
    </row>
    <row r="443" spans="1:21" x14ac:dyDescent="0.2">
      <c r="A443" s="28"/>
      <c r="B443" s="25" t="s">
        <v>1467</v>
      </c>
      <c r="C443" s="25">
        <v>13637003</v>
      </c>
      <c r="D443" s="25" t="s">
        <v>1466</v>
      </c>
      <c r="E443" s="25" t="s">
        <v>185</v>
      </c>
      <c r="F443" s="25" t="s">
        <v>1465</v>
      </c>
      <c r="G443" s="25" t="s">
        <v>183</v>
      </c>
      <c r="H443" s="25" t="s">
        <v>423</v>
      </c>
      <c r="I443" s="27">
        <v>43296</v>
      </c>
      <c r="K443" s="27">
        <v>43328</v>
      </c>
      <c r="L443" s="26">
        <v>-437957</v>
      </c>
      <c r="M443" s="25">
        <v>2000086858</v>
      </c>
      <c r="N443" s="25" t="s">
        <v>1464</v>
      </c>
      <c r="O443" s="25" t="s">
        <v>180</v>
      </c>
      <c r="P443" s="26">
        <v>145</v>
      </c>
      <c r="Q443" s="25" t="s">
        <v>189</v>
      </c>
      <c r="R443" s="25" t="s">
        <v>1463</v>
      </c>
      <c r="S443" s="25" t="s">
        <v>177</v>
      </c>
      <c r="T443" s="25" t="s">
        <v>176</v>
      </c>
      <c r="U443" s="25" t="s">
        <v>175</v>
      </c>
    </row>
    <row r="444" spans="1:21" x14ac:dyDescent="0.2">
      <c r="A444" s="28"/>
      <c r="B444" s="25" t="s">
        <v>1462</v>
      </c>
      <c r="C444" s="25" t="s">
        <v>1462</v>
      </c>
      <c r="D444" s="25" t="s">
        <v>279</v>
      </c>
      <c r="E444" s="25" t="s">
        <v>185</v>
      </c>
      <c r="F444" s="25" t="s">
        <v>1461</v>
      </c>
      <c r="G444" s="25" t="s">
        <v>276</v>
      </c>
      <c r="H444" s="25" t="s">
        <v>275</v>
      </c>
      <c r="I444" s="27">
        <v>43503</v>
      </c>
      <c r="K444" s="27">
        <v>43503</v>
      </c>
      <c r="L444" s="26">
        <v>7522300</v>
      </c>
      <c r="M444" s="25">
        <v>2000086858</v>
      </c>
      <c r="N444" s="25" t="s">
        <v>1333</v>
      </c>
      <c r="O444" s="25" t="s">
        <v>271</v>
      </c>
      <c r="P444" s="26">
        <v>0</v>
      </c>
      <c r="Q444" s="25" t="s">
        <v>270</v>
      </c>
      <c r="R444" s="25" t="s">
        <v>279</v>
      </c>
      <c r="S444" s="25" t="s">
        <v>177</v>
      </c>
      <c r="T444" s="25" t="s">
        <v>176</v>
      </c>
      <c r="U444" s="25" t="s">
        <v>175</v>
      </c>
    </row>
    <row r="445" spans="1:21" x14ac:dyDescent="0.2">
      <c r="A445" s="28"/>
      <c r="B445" s="25" t="s">
        <v>1598</v>
      </c>
      <c r="C445" s="25">
        <v>13688026</v>
      </c>
      <c r="D445" s="25" t="s">
        <v>1591</v>
      </c>
      <c r="E445" s="25" t="s">
        <v>185</v>
      </c>
      <c r="F445" s="25" t="s">
        <v>1597</v>
      </c>
      <c r="G445" s="25" t="s">
        <v>183</v>
      </c>
      <c r="H445" s="25" t="s">
        <v>240</v>
      </c>
      <c r="I445" s="27">
        <v>43369</v>
      </c>
      <c r="K445" s="27">
        <v>43446</v>
      </c>
      <c r="L445" s="26">
        <v>-68400</v>
      </c>
      <c r="M445" s="25">
        <v>2000086554</v>
      </c>
      <c r="N445" s="25" t="s">
        <v>1139</v>
      </c>
      <c r="O445" s="25" t="s">
        <v>180</v>
      </c>
      <c r="P445" s="26">
        <v>101</v>
      </c>
      <c r="Q445" s="25" t="s">
        <v>189</v>
      </c>
      <c r="R445" s="25" t="s">
        <v>427</v>
      </c>
      <c r="S445" s="25" t="s">
        <v>177</v>
      </c>
      <c r="T445" s="25" t="s">
        <v>176</v>
      </c>
      <c r="U445" s="25" t="s">
        <v>175</v>
      </c>
    </row>
    <row r="446" spans="1:21" x14ac:dyDescent="0.2">
      <c r="A446" s="28"/>
      <c r="B446" s="25" t="s">
        <v>1596</v>
      </c>
      <c r="C446" s="25">
        <v>13689435</v>
      </c>
      <c r="D446" s="25" t="s">
        <v>1591</v>
      </c>
      <c r="E446" s="25" t="s">
        <v>185</v>
      </c>
      <c r="F446" s="25" t="s">
        <v>1595</v>
      </c>
      <c r="G446" s="25" t="s">
        <v>183</v>
      </c>
      <c r="H446" s="25" t="s">
        <v>240</v>
      </c>
      <c r="I446" s="27">
        <v>43347</v>
      </c>
      <c r="K446" s="27">
        <v>43446</v>
      </c>
      <c r="L446" s="26">
        <v>-21300</v>
      </c>
      <c r="M446" s="25">
        <v>2000086554</v>
      </c>
      <c r="N446" s="25" t="s">
        <v>1139</v>
      </c>
      <c r="O446" s="25" t="s">
        <v>180</v>
      </c>
      <c r="P446" s="26">
        <v>101</v>
      </c>
      <c r="Q446" s="25" t="s">
        <v>189</v>
      </c>
      <c r="R446" s="25" t="s">
        <v>427</v>
      </c>
      <c r="S446" s="25" t="s">
        <v>177</v>
      </c>
      <c r="T446" s="25" t="s">
        <v>176</v>
      </c>
      <c r="U446" s="25" t="s">
        <v>175</v>
      </c>
    </row>
    <row r="447" spans="1:21" x14ac:dyDescent="0.2">
      <c r="A447" s="28"/>
      <c r="B447" s="25" t="s">
        <v>1594</v>
      </c>
      <c r="C447" s="25">
        <v>13702301</v>
      </c>
      <c r="D447" s="25" t="s">
        <v>1591</v>
      </c>
      <c r="E447" s="25" t="s">
        <v>185</v>
      </c>
      <c r="F447" s="25" t="s">
        <v>1593</v>
      </c>
      <c r="G447" s="25" t="s">
        <v>183</v>
      </c>
      <c r="H447" s="25" t="s">
        <v>240</v>
      </c>
      <c r="I447" s="27">
        <v>43358</v>
      </c>
      <c r="K447" s="27">
        <v>43446</v>
      </c>
      <c r="L447" s="26">
        <v>-51300</v>
      </c>
      <c r="M447" s="25">
        <v>2000086554</v>
      </c>
      <c r="N447" s="25" t="s">
        <v>1572</v>
      </c>
      <c r="O447" s="25" t="s">
        <v>180</v>
      </c>
      <c r="P447" s="26">
        <v>101</v>
      </c>
      <c r="Q447" s="25" t="s">
        <v>189</v>
      </c>
      <c r="R447" s="25" t="s">
        <v>427</v>
      </c>
      <c r="S447" s="25" t="s">
        <v>177</v>
      </c>
      <c r="T447" s="25" t="s">
        <v>176</v>
      </c>
      <c r="U447" s="25" t="s">
        <v>175</v>
      </c>
    </row>
    <row r="448" spans="1:21" x14ac:dyDescent="0.2">
      <c r="A448" s="28"/>
      <c r="B448" s="25" t="s">
        <v>1592</v>
      </c>
      <c r="C448" s="25">
        <v>13707682</v>
      </c>
      <c r="D448" s="25" t="s">
        <v>1591</v>
      </c>
      <c r="E448" s="25" t="s">
        <v>185</v>
      </c>
      <c r="F448" s="25" t="s">
        <v>1590</v>
      </c>
      <c r="G448" s="25" t="s">
        <v>183</v>
      </c>
      <c r="H448" s="25" t="s">
        <v>240</v>
      </c>
      <c r="I448" s="27">
        <v>43363</v>
      </c>
      <c r="K448" s="27">
        <v>43446</v>
      </c>
      <c r="L448" s="26">
        <v>-45100</v>
      </c>
      <c r="M448" s="25">
        <v>2000086554</v>
      </c>
      <c r="N448" s="25" t="s">
        <v>1139</v>
      </c>
      <c r="O448" s="25" t="s">
        <v>180</v>
      </c>
      <c r="P448" s="26">
        <v>101</v>
      </c>
      <c r="Q448" s="25" t="s">
        <v>189</v>
      </c>
      <c r="R448" s="25" t="s">
        <v>427</v>
      </c>
      <c r="S448" s="25" t="s">
        <v>177</v>
      </c>
      <c r="T448" s="25" t="s">
        <v>176</v>
      </c>
      <c r="U448" s="25" t="s">
        <v>175</v>
      </c>
    </row>
    <row r="449" spans="1:21" x14ac:dyDescent="0.2">
      <c r="A449" s="28"/>
      <c r="B449" s="25" t="s">
        <v>1589</v>
      </c>
      <c r="C449" s="25">
        <v>13641269</v>
      </c>
      <c r="D449" s="25" t="s">
        <v>1578</v>
      </c>
      <c r="E449" s="25" t="s">
        <v>185</v>
      </c>
      <c r="F449" s="25" t="s">
        <v>1588</v>
      </c>
      <c r="G449" s="25" t="s">
        <v>183</v>
      </c>
      <c r="H449" s="25" t="s">
        <v>240</v>
      </c>
      <c r="I449" s="27">
        <v>43300</v>
      </c>
      <c r="K449" s="27">
        <v>43444</v>
      </c>
      <c r="L449" s="26">
        <v>-221999</v>
      </c>
      <c r="M449" s="25">
        <v>2000086554</v>
      </c>
      <c r="N449" s="25" t="s">
        <v>1587</v>
      </c>
      <c r="O449" s="25" t="s">
        <v>180</v>
      </c>
      <c r="P449" s="26">
        <v>69</v>
      </c>
      <c r="Q449" s="25" t="s">
        <v>189</v>
      </c>
      <c r="R449" s="25" t="s">
        <v>427</v>
      </c>
      <c r="S449" s="25" t="s">
        <v>177</v>
      </c>
      <c r="T449" s="25" t="s">
        <v>176</v>
      </c>
      <c r="U449" s="25" t="s">
        <v>175</v>
      </c>
    </row>
    <row r="450" spans="1:21" x14ac:dyDescent="0.2">
      <c r="A450" s="28"/>
      <c r="B450" s="25" t="s">
        <v>1586</v>
      </c>
      <c r="C450" s="25">
        <v>13641285</v>
      </c>
      <c r="D450" s="25" t="s">
        <v>1578</v>
      </c>
      <c r="E450" s="25" t="s">
        <v>185</v>
      </c>
      <c r="F450" s="25" t="s">
        <v>1585</v>
      </c>
      <c r="G450" s="25" t="s">
        <v>183</v>
      </c>
      <c r="H450" s="25" t="s">
        <v>240</v>
      </c>
      <c r="I450" s="27">
        <v>43373</v>
      </c>
      <c r="K450" s="27">
        <v>43444</v>
      </c>
      <c r="L450" s="26">
        <v>-253133</v>
      </c>
      <c r="M450" s="25">
        <v>2000086554</v>
      </c>
      <c r="N450" s="25" t="s">
        <v>902</v>
      </c>
      <c r="O450" s="25" t="s">
        <v>180</v>
      </c>
      <c r="P450" s="26">
        <v>69</v>
      </c>
      <c r="Q450" s="25" t="s">
        <v>189</v>
      </c>
      <c r="R450" s="25" t="s">
        <v>427</v>
      </c>
      <c r="S450" s="25" t="s">
        <v>177</v>
      </c>
      <c r="T450" s="25" t="s">
        <v>176</v>
      </c>
      <c r="U450" s="25" t="s">
        <v>175</v>
      </c>
    </row>
    <row r="451" spans="1:21" x14ac:dyDescent="0.2">
      <c r="A451" s="28"/>
      <c r="B451" s="25" t="s">
        <v>1584</v>
      </c>
      <c r="C451" s="25">
        <v>13733613</v>
      </c>
      <c r="D451" s="25" t="s">
        <v>1578</v>
      </c>
      <c r="E451" s="25" t="s">
        <v>185</v>
      </c>
      <c r="F451" s="25" t="s">
        <v>1583</v>
      </c>
      <c r="G451" s="25" t="s">
        <v>183</v>
      </c>
      <c r="H451" s="25" t="s">
        <v>240</v>
      </c>
      <c r="I451" s="27">
        <v>43390</v>
      </c>
      <c r="K451" s="27">
        <v>43444</v>
      </c>
      <c r="L451" s="26">
        <v>-21300</v>
      </c>
      <c r="M451" s="25">
        <v>2000086554</v>
      </c>
      <c r="N451" s="25" t="s">
        <v>1139</v>
      </c>
      <c r="O451" s="25" t="s">
        <v>180</v>
      </c>
      <c r="P451" s="26">
        <v>69</v>
      </c>
      <c r="Q451" s="25" t="s">
        <v>189</v>
      </c>
      <c r="R451" s="25" t="s">
        <v>427</v>
      </c>
      <c r="S451" s="25" t="s">
        <v>177</v>
      </c>
      <c r="T451" s="25" t="s">
        <v>176</v>
      </c>
      <c r="U451" s="25" t="s">
        <v>175</v>
      </c>
    </row>
    <row r="452" spans="1:21" x14ac:dyDescent="0.2">
      <c r="A452" s="28"/>
      <c r="B452" s="25" t="s">
        <v>1582</v>
      </c>
      <c r="C452" s="25">
        <v>13641271</v>
      </c>
      <c r="D452" s="25" t="s">
        <v>1578</v>
      </c>
      <c r="E452" s="25" t="s">
        <v>185</v>
      </c>
      <c r="F452" s="25" t="s">
        <v>1581</v>
      </c>
      <c r="G452" s="25" t="s">
        <v>183</v>
      </c>
      <c r="H452" s="25" t="s">
        <v>240</v>
      </c>
      <c r="I452" s="27">
        <v>43300</v>
      </c>
      <c r="K452" s="27">
        <v>43444</v>
      </c>
      <c r="L452" s="26">
        <v>-98531</v>
      </c>
      <c r="M452" s="25">
        <v>2000086554</v>
      </c>
      <c r="N452" s="25" t="s">
        <v>1580</v>
      </c>
      <c r="O452" s="25" t="s">
        <v>180</v>
      </c>
      <c r="P452" s="26">
        <v>69</v>
      </c>
      <c r="Q452" s="25" t="s">
        <v>189</v>
      </c>
      <c r="R452" s="25" t="s">
        <v>427</v>
      </c>
      <c r="S452" s="25" t="s">
        <v>177</v>
      </c>
      <c r="T452" s="25" t="s">
        <v>176</v>
      </c>
      <c r="U452" s="25" t="s">
        <v>175</v>
      </c>
    </row>
    <row r="453" spans="1:21" x14ac:dyDescent="0.2">
      <c r="A453" s="28"/>
      <c r="B453" s="25" t="s">
        <v>1579</v>
      </c>
      <c r="C453" s="25">
        <v>13739506</v>
      </c>
      <c r="D453" s="25" t="s">
        <v>1578</v>
      </c>
      <c r="E453" s="25" t="s">
        <v>185</v>
      </c>
      <c r="F453" s="25" t="s">
        <v>1577</v>
      </c>
      <c r="G453" s="25" t="s">
        <v>183</v>
      </c>
      <c r="H453" s="25" t="s">
        <v>240</v>
      </c>
      <c r="I453" s="27">
        <v>43396</v>
      </c>
      <c r="K453" s="27">
        <v>43444</v>
      </c>
      <c r="L453" s="26">
        <v>-45100</v>
      </c>
      <c r="M453" s="25">
        <v>2000086554</v>
      </c>
      <c r="N453" s="25" t="s">
        <v>1139</v>
      </c>
      <c r="O453" s="25" t="s">
        <v>180</v>
      </c>
      <c r="P453" s="26">
        <v>69</v>
      </c>
      <c r="Q453" s="25" t="s">
        <v>189</v>
      </c>
      <c r="R453" s="25" t="s">
        <v>427</v>
      </c>
      <c r="S453" s="25" t="s">
        <v>177</v>
      </c>
      <c r="T453" s="25" t="s">
        <v>176</v>
      </c>
      <c r="U453" s="25" t="s">
        <v>175</v>
      </c>
    </row>
    <row r="454" spans="1:21" x14ac:dyDescent="0.2">
      <c r="A454" s="28"/>
      <c r="B454" s="25" t="s">
        <v>1554</v>
      </c>
      <c r="C454" s="25" t="s">
        <v>1554</v>
      </c>
      <c r="D454" s="25" t="s">
        <v>1576</v>
      </c>
      <c r="E454" s="25" t="s">
        <v>185</v>
      </c>
      <c r="F454" s="25" t="s">
        <v>1552</v>
      </c>
      <c r="G454" s="25" t="s">
        <v>419</v>
      </c>
      <c r="H454" s="25" t="s">
        <v>678</v>
      </c>
      <c r="I454" s="27">
        <v>43503</v>
      </c>
      <c r="K454" s="27">
        <v>43509</v>
      </c>
      <c r="L454" s="26">
        <v>0</v>
      </c>
      <c r="M454" s="25">
        <v>2000086554</v>
      </c>
      <c r="N454" s="25" t="s">
        <v>1333</v>
      </c>
      <c r="O454" s="25" t="s">
        <v>271</v>
      </c>
      <c r="P454" s="26">
        <v>6</v>
      </c>
      <c r="Q454" s="25" t="s">
        <v>1024</v>
      </c>
      <c r="R454" s="25" t="s">
        <v>1333</v>
      </c>
      <c r="S454" s="25" t="s">
        <v>177</v>
      </c>
      <c r="T454" s="25" t="s">
        <v>176</v>
      </c>
      <c r="U454" s="25" t="s">
        <v>175</v>
      </c>
    </row>
    <row r="455" spans="1:21" x14ac:dyDescent="0.2">
      <c r="A455" s="28"/>
      <c r="B455" s="25" t="s">
        <v>1575</v>
      </c>
      <c r="C455" s="25">
        <v>13552094</v>
      </c>
      <c r="D455" s="25" t="s">
        <v>1574</v>
      </c>
      <c r="E455" s="25" t="s">
        <v>185</v>
      </c>
      <c r="F455" s="25" t="s">
        <v>1573</v>
      </c>
      <c r="G455" s="25" t="s">
        <v>183</v>
      </c>
      <c r="H455" s="25" t="s">
        <v>240</v>
      </c>
      <c r="I455" s="27">
        <v>43211</v>
      </c>
      <c r="K455" s="27">
        <v>43316</v>
      </c>
      <c r="L455" s="26">
        <v>-162463</v>
      </c>
      <c r="M455" s="25">
        <v>2000086554</v>
      </c>
      <c r="N455" s="25" t="s">
        <v>1572</v>
      </c>
      <c r="O455" s="25" t="s">
        <v>180</v>
      </c>
      <c r="P455" s="26">
        <v>222</v>
      </c>
      <c r="Q455" s="25" t="s">
        <v>189</v>
      </c>
      <c r="R455" s="25" t="s">
        <v>238</v>
      </c>
      <c r="S455" s="25" t="s">
        <v>177</v>
      </c>
      <c r="T455" s="25" t="s">
        <v>176</v>
      </c>
      <c r="U455" s="25" t="s">
        <v>175</v>
      </c>
    </row>
    <row r="456" spans="1:21" x14ac:dyDescent="0.2">
      <c r="A456" s="28"/>
      <c r="B456" s="25" t="s">
        <v>1571</v>
      </c>
      <c r="C456" s="25">
        <v>13601408</v>
      </c>
      <c r="D456" s="25" t="s">
        <v>1561</v>
      </c>
      <c r="E456" s="25" t="s">
        <v>185</v>
      </c>
      <c r="F456" s="25" t="s">
        <v>1570</v>
      </c>
      <c r="G456" s="25" t="s">
        <v>183</v>
      </c>
      <c r="H456" s="25" t="s">
        <v>240</v>
      </c>
      <c r="I456" s="27">
        <v>43260</v>
      </c>
      <c r="K456" s="27">
        <v>43378</v>
      </c>
      <c r="L456" s="26">
        <v>-45100</v>
      </c>
      <c r="M456" s="25">
        <v>2000086554</v>
      </c>
      <c r="N456" s="25" t="s">
        <v>1139</v>
      </c>
      <c r="O456" s="25" t="s">
        <v>180</v>
      </c>
      <c r="P456" s="26">
        <v>151</v>
      </c>
      <c r="Q456" s="25" t="s">
        <v>189</v>
      </c>
      <c r="R456" s="25" t="s">
        <v>238</v>
      </c>
      <c r="S456" s="25" t="s">
        <v>177</v>
      </c>
      <c r="T456" s="25" t="s">
        <v>176</v>
      </c>
      <c r="U456" s="25" t="s">
        <v>175</v>
      </c>
    </row>
    <row r="457" spans="1:21" x14ac:dyDescent="0.2">
      <c r="A457" s="28"/>
      <c r="B457" s="25" t="s">
        <v>1569</v>
      </c>
      <c r="C457" s="25">
        <v>13603877</v>
      </c>
      <c r="D457" s="25" t="s">
        <v>1561</v>
      </c>
      <c r="E457" s="25" t="s">
        <v>185</v>
      </c>
      <c r="F457" s="25" t="s">
        <v>1568</v>
      </c>
      <c r="G457" s="25" t="s">
        <v>183</v>
      </c>
      <c r="H457" s="25" t="s">
        <v>240</v>
      </c>
      <c r="I457" s="27">
        <v>43264</v>
      </c>
      <c r="K457" s="27">
        <v>43378</v>
      </c>
      <c r="L457" s="26">
        <v>-346100</v>
      </c>
      <c r="M457" s="25">
        <v>2000086554</v>
      </c>
      <c r="N457" s="25" t="s">
        <v>1139</v>
      </c>
      <c r="O457" s="25" t="s">
        <v>180</v>
      </c>
      <c r="P457" s="26">
        <v>151</v>
      </c>
      <c r="Q457" s="25" t="s">
        <v>189</v>
      </c>
      <c r="R457" s="25" t="s">
        <v>238</v>
      </c>
      <c r="S457" s="25" t="s">
        <v>177</v>
      </c>
      <c r="T457" s="25" t="s">
        <v>176</v>
      </c>
      <c r="U457" s="25" t="s">
        <v>175</v>
      </c>
    </row>
    <row r="458" spans="1:21" x14ac:dyDescent="0.2">
      <c r="A458" s="28"/>
      <c r="B458" s="25" t="s">
        <v>1567</v>
      </c>
      <c r="C458" s="25">
        <v>13609907</v>
      </c>
      <c r="D458" s="25" t="s">
        <v>1561</v>
      </c>
      <c r="E458" s="25" t="s">
        <v>185</v>
      </c>
      <c r="F458" s="25" t="s">
        <v>1566</v>
      </c>
      <c r="G458" s="25" t="s">
        <v>183</v>
      </c>
      <c r="H458" s="25" t="s">
        <v>240</v>
      </c>
      <c r="I458" s="27">
        <v>43270</v>
      </c>
      <c r="K458" s="27">
        <v>43378</v>
      </c>
      <c r="L458" s="26">
        <v>-68400</v>
      </c>
      <c r="M458" s="25">
        <v>2000086554</v>
      </c>
      <c r="N458" s="25" t="s">
        <v>1139</v>
      </c>
      <c r="O458" s="25" t="s">
        <v>180</v>
      </c>
      <c r="P458" s="26">
        <v>151</v>
      </c>
      <c r="Q458" s="25" t="s">
        <v>189</v>
      </c>
      <c r="R458" s="25" t="s">
        <v>238</v>
      </c>
      <c r="S458" s="25" t="s">
        <v>177</v>
      </c>
      <c r="T458" s="25" t="s">
        <v>176</v>
      </c>
      <c r="U458" s="25" t="s">
        <v>175</v>
      </c>
    </row>
    <row r="459" spans="1:21" x14ac:dyDescent="0.2">
      <c r="A459" s="28"/>
      <c r="B459" s="25" t="s">
        <v>1565</v>
      </c>
      <c r="C459" s="25">
        <v>13610644</v>
      </c>
      <c r="D459" s="25" t="s">
        <v>1561</v>
      </c>
      <c r="E459" s="25" t="s">
        <v>185</v>
      </c>
      <c r="F459" s="25" t="s">
        <v>1564</v>
      </c>
      <c r="G459" s="25" t="s">
        <v>183</v>
      </c>
      <c r="H459" s="25" t="s">
        <v>1144</v>
      </c>
      <c r="I459" s="27">
        <v>43270</v>
      </c>
      <c r="K459" s="27">
        <v>43378</v>
      </c>
      <c r="L459" s="26">
        <v>-65635</v>
      </c>
      <c r="M459" s="25">
        <v>2000086554</v>
      </c>
      <c r="N459" s="25" t="s">
        <v>1563</v>
      </c>
      <c r="O459" s="25" t="s">
        <v>180</v>
      </c>
      <c r="P459" s="26">
        <v>151</v>
      </c>
      <c r="Q459" s="25" t="s">
        <v>189</v>
      </c>
      <c r="R459" s="25" t="s">
        <v>238</v>
      </c>
      <c r="S459" s="25" t="s">
        <v>177</v>
      </c>
      <c r="T459" s="25" t="s">
        <v>176</v>
      </c>
      <c r="U459" s="25" t="s">
        <v>175</v>
      </c>
    </row>
    <row r="460" spans="1:21" x14ac:dyDescent="0.2">
      <c r="A460" s="28"/>
      <c r="B460" s="25" t="s">
        <v>1562</v>
      </c>
      <c r="C460" s="25">
        <v>13617709</v>
      </c>
      <c r="D460" s="25" t="s">
        <v>1561</v>
      </c>
      <c r="E460" s="25" t="s">
        <v>185</v>
      </c>
      <c r="F460" s="25" t="s">
        <v>1560</v>
      </c>
      <c r="G460" s="25" t="s">
        <v>183</v>
      </c>
      <c r="H460" s="25" t="s">
        <v>240</v>
      </c>
      <c r="I460" s="27">
        <v>43277</v>
      </c>
      <c r="K460" s="27">
        <v>43378</v>
      </c>
      <c r="L460" s="26">
        <v>-21300</v>
      </c>
      <c r="M460" s="25">
        <v>2000086554</v>
      </c>
      <c r="N460" s="25" t="s">
        <v>1139</v>
      </c>
      <c r="O460" s="25" t="s">
        <v>180</v>
      </c>
      <c r="P460" s="26">
        <v>151</v>
      </c>
      <c r="Q460" s="25" t="s">
        <v>189</v>
      </c>
      <c r="R460" s="25" t="s">
        <v>238</v>
      </c>
      <c r="S460" s="25" t="s">
        <v>177</v>
      </c>
      <c r="T460" s="25" t="s">
        <v>176</v>
      </c>
      <c r="U460" s="25" t="s">
        <v>175</v>
      </c>
    </row>
    <row r="461" spans="1:21" x14ac:dyDescent="0.2">
      <c r="A461" s="28"/>
      <c r="B461" s="25" t="s">
        <v>1559</v>
      </c>
      <c r="C461" s="25">
        <v>13641495</v>
      </c>
      <c r="D461" s="25" t="s">
        <v>1556</v>
      </c>
      <c r="E461" s="25" t="s">
        <v>185</v>
      </c>
      <c r="F461" s="25" t="s">
        <v>1558</v>
      </c>
      <c r="G461" s="25" t="s">
        <v>183</v>
      </c>
      <c r="H461" s="25" t="s">
        <v>240</v>
      </c>
      <c r="I461" s="27">
        <v>43300</v>
      </c>
      <c r="K461" s="27">
        <v>43375</v>
      </c>
      <c r="L461" s="26">
        <v>-45100</v>
      </c>
      <c r="M461" s="25">
        <v>2000086554</v>
      </c>
      <c r="N461" s="25" t="s">
        <v>1139</v>
      </c>
      <c r="O461" s="25" t="s">
        <v>180</v>
      </c>
      <c r="P461" s="26">
        <v>151</v>
      </c>
      <c r="Q461" s="25" t="s">
        <v>189</v>
      </c>
      <c r="R461" s="25" t="s">
        <v>238</v>
      </c>
      <c r="S461" s="25" t="s">
        <v>177</v>
      </c>
      <c r="T461" s="25" t="s">
        <v>176</v>
      </c>
      <c r="U461" s="25" t="s">
        <v>175</v>
      </c>
    </row>
    <row r="462" spans="1:21" x14ac:dyDescent="0.2">
      <c r="A462" s="28"/>
      <c r="B462" s="25" t="s">
        <v>1557</v>
      </c>
      <c r="C462" s="25">
        <v>13647775</v>
      </c>
      <c r="D462" s="25" t="s">
        <v>1556</v>
      </c>
      <c r="E462" s="25" t="s">
        <v>185</v>
      </c>
      <c r="F462" s="25" t="s">
        <v>1555</v>
      </c>
      <c r="G462" s="25" t="s">
        <v>183</v>
      </c>
      <c r="H462" s="25" t="s">
        <v>240</v>
      </c>
      <c r="I462" s="27">
        <v>43307</v>
      </c>
      <c r="K462" s="27">
        <v>43375</v>
      </c>
      <c r="L462" s="26">
        <v>-271400</v>
      </c>
      <c r="M462" s="25">
        <v>2000086554</v>
      </c>
      <c r="N462" s="25" t="s">
        <v>1139</v>
      </c>
      <c r="O462" s="25" t="s">
        <v>180</v>
      </c>
      <c r="P462" s="26">
        <v>151</v>
      </c>
      <c r="Q462" s="25" t="s">
        <v>189</v>
      </c>
      <c r="R462" s="25" t="s">
        <v>238</v>
      </c>
      <c r="S462" s="25" t="s">
        <v>177</v>
      </c>
      <c r="T462" s="25" t="s">
        <v>176</v>
      </c>
      <c r="U462" s="25" t="s">
        <v>175</v>
      </c>
    </row>
    <row r="463" spans="1:21" x14ac:dyDescent="0.2">
      <c r="A463" s="28"/>
      <c r="B463" s="25" t="s">
        <v>1554</v>
      </c>
      <c r="C463" s="25" t="s">
        <v>1554</v>
      </c>
      <c r="D463" s="25" t="s">
        <v>676</v>
      </c>
      <c r="E463" s="25" t="s">
        <v>185</v>
      </c>
      <c r="F463" s="25" t="s">
        <v>1553</v>
      </c>
      <c r="G463" s="25" t="s">
        <v>276</v>
      </c>
      <c r="H463" s="25" t="s">
        <v>678</v>
      </c>
      <c r="I463" s="27">
        <v>43503</v>
      </c>
      <c r="K463" s="27">
        <v>43503</v>
      </c>
      <c r="L463" s="26">
        <v>1851661</v>
      </c>
      <c r="M463" s="25">
        <v>2000086554</v>
      </c>
      <c r="N463" s="25" t="s">
        <v>1333</v>
      </c>
      <c r="O463" s="25" t="s">
        <v>271</v>
      </c>
      <c r="P463" s="26">
        <v>6</v>
      </c>
      <c r="Q463" s="25" t="s">
        <v>270</v>
      </c>
      <c r="R463" s="25" t="s">
        <v>676</v>
      </c>
      <c r="S463" s="25" t="s">
        <v>177</v>
      </c>
      <c r="T463" s="25" t="s">
        <v>176</v>
      </c>
      <c r="U463" s="25" t="s">
        <v>175</v>
      </c>
    </row>
    <row r="464" spans="1:21" x14ac:dyDescent="0.2">
      <c r="A464" s="28"/>
      <c r="B464" s="25" t="s">
        <v>1691</v>
      </c>
      <c r="C464" s="25">
        <v>13660134</v>
      </c>
      <c r="D464" s="25" t="s">
        <v>1458</v>
      </c>
      <c r="E464" s="25" t="s">
        <v>185</v>
      </c>
      <c r="F464" s="25" t="s">
        <v>1690</v>
      </c>
      <c r="G464" s="25" t="s">
        <v>183</v>
      </c>
      <c r="H464" s="25" t="s">
        <v>246</v>
      </c>
      <c r="I464" s="27">
        <v>43318</v>
      </c>
      <c r="K464" s="27">
        <v>43378</v>
      </c>
      <c r="L464" s="26">
        <v>-45100</v>
      </c>
      <c r="M464" s="25">
        <v>2000069164</v>
      </c>
      <c r="N464" s="25" t="s">
        <v>1043</v>
      </c>
      <c r="O464" s="25" t="s">
        <v>180</v>
      </c>
      <c r="P464" s="26">
        <v>45</v>
      </c>
      <c r="Q464" s="25" t="s">
        <v>189</v>
      </c>
      <c r="R464" s="25" t="s">
        <v>244</v>
      </c>
      <c r="S464" s="25" t="s">
        <v>177</v>
      </c>
      <c r="T464" s="25" t="s">
        <v>176</v>
      </c>
      <c r="U464" s="25" t="s">
        <v>175</v>
      </c>
    </row>
    <row r="465" spans="1:21" x14ac:dyDescent="0.2">
      <c r="A465" s="28"/>
      <c r="B465" s="25" t="s">
        <v>1689</v>
      </c>
      <c r="C465" s="25">
        <v>13669571</v>
      </c>
      <c r="D465" s="25" t="s">
        <v>1458</v>
      </c>
      <c r="E465" s="25" t="s">
        <v>185</v>
      </c>
      <c r="F465" s="25" t="s">
        <v>1688</v>
      </c>
      <c r="G465" s="25" t="s">
        <v>183</v>
      </c>
      <c r="H465" s="25" t="s">
        <v>246</v>
      </c>
      <c r="I465" s="27">
        <v>43328</v>
      </c>
      <c r="K465" s="27">
        <v>43378</v>
      </c>
      <c r="L465" s="26">
        <v>-31300</v>
      </c>
      <c r="M465" s="25">
        <v>2000069164</v>
      </c>
      <c r="N465" s="25" t="s">
        <v>1239</v>
      </c>
      <c r="O465" s="25" t="s">
        <v>180</v>
      </c>
      <c r="P465" s="26">
        <v>45</v>
      </c>
      <c r="Q465" s="25" t="s">
        <v>189</v>
      </c>
      <c r="R465" s="25" t="s">
        <v>244</v>
      </c>
      <c r="S465" s="25" t="s">
        <v>177</v>
      </c>
      <c r="T465" s="25" t="s">
        <v>176</v>
      </c>
      <c r="U465" s="25" t="s">
        <v>175</v>
      </c>
    </row>
    <row r="466" spans="1:21" x14ac:dyDescent="0.2">
      <c r="A466" s="28"/>
      <c r="B466" s="25" t="s">
        <v>1687</v>
      </c>
      <c r="C466" s="25">
        <v>13675815</v>
      </c>
      <c r="D466" s="25" t="s">
        <v>1458</v>
      </c>
      <c r="E466" s="25" t="s">
        <v>185</v>
      </c>
      <c r="F466" s="25" t="s">
        <v>1686</v>
      </c>
      <c r="G466" s="25" t="s">
        <v>183</v>
      </c>
      <c r="H466" s="25" t="s">
        <v>246</v>
      </c>
      <c r="I466" s="27">
        <v>43335</v>
      </c>
      <c r="K466" s="27">
        <v>43378</v>
      </c>
      <c r="L466" s="26">
        <v>-110900</v>
      </c>
      <c r="M466" s="25">
        <v>2000069164</v>
      </c>
      <c r="N466" s="25" t="s">
        <v>1239</v>
      </c>
      <c r="O466" s="25" t="s">
        <v>180</v>
      </c>
      <c r="P466" s="26">
        <v>45</v>
      </c>
      <c r="Q466" s="25" t="s">
        <v>189</v>
      </c>
      <c r="R466" s="25" t="s">
        <v>244</v>
      </c>
      <c r="S466" s="25" t="s">
        <v>177</v>
      </c>
      <c r="T466" s="25" t="s">
        <v>176</v>
      </c>
      <c r="U466" s="25" t="s">
        <v>175</v>
      </c>
    </row>
    <row r="467" spans="1:21" x14ac:dyDescent="0.2">
      <c r="A467" s="28"/>
      <c r="B467" s="25" t="s">
        <v>1685</v>
      </c>
      <c r="C467" s="25">
        <v>13679401</v>
      </c>
      <c r="D467" s="25" t="s">
        <v>1458</v>
      </c>
      <c r="E467" s="25" t="s">
        <v>185</v>
      </c>
      <c r="F467" s="25" t="s">
        <v>1684</v>
      </c>
      <c r="G467" s="25" t="s">
        <v>183</v>
      </c>
      <c r="H467" s="25" t="s">
        <v>1309</v>
      </c>
      <c r="I467" s="27">
        <v>43339</v>
      </c>
      <c r="K467" s="27">
        <v>43378</v>
      </c>
      <c r="L467" s="26">
        <v>-716300</v>
      </c>
      <c r="M467" s="25">
        <v>2000069164</v>
      </c>
      <c r="N467" s="25" t="s">
        <v>1308</v>
      </c>
      <c r="O467" s="25" t="s">
        <v>180</v>
      </c>
      <c r="P467" s="26">
        <v>45</v>
      </c>
      <c r="Q467" s="25" t="s">
        <v>189</v>
      </c>
      <c r="R467" s="25" t="s">
        <v>244</v>
      </c>
      <c r="S467" s="25" t="s">
        <v>177</v>
      </c>
      <c r="T467" s="25" t="s">
        <v>176</v>
      </c>
      <c r="U467" s="25" t="s">
        <v>175</v>
      </c>
    </row>
    <row r="468" spans="1:21" x14ac:dyDescent="0.2">
      <c r="A468" s="28"/>
      <c r="B468" s="25" t="s">
        <v>1459</v>
      </c>
      <c r="C468" s="25">
        <v>13679446</v>
      </c>
      <c r="D468" s="25" t="s">
        <v>1458</v>
      </c>
      <c r="E468" s="25" t="s">
        <v>185</v>
      </c>
      <c r="F468" s="25" t="s">
        <v>1683</v>
      </c>
      <c r="G468" s="25" t="s">
        <v>183</v>
      </c>
      <c r="H468" s="25" t="s">
        <v>246</v>
      </c>
      <c r="I468" s="27">
        <v>43339</v>
      </c>
      <c r="K468" s="27">
        <v>43378</v>
      </c>
      <c r="L468" s="26">
        <v>-86100</v>
      </c>
      <c r="M468" s="25">
        <v>2000069164</v>
      </c>
      <c r="N468" s="25" t="s">
        <v>1239</v>
      </c>
      <c r="O468" s="25" t="s">
        <v>180</v>
      </c>
      <c r="P468" s="26">
        <v>45</v>
      </c>
      <c r="Q468" s="25" t="s">
        <v>189</v>
      </c>
      <c r="R468" s="25" t="s">
        <v>244</v>
      </c>
      <c r="S468" s="25" t="s">
        <v>177</v>
      </c>
      <c r="T468" s="25" t="s">
        <v>176</v>
      </c>
      <c r="U468" s="25" t="s">
        <v>175</v>
      </c>
    </row>
    <row r="469" spans="1:21" x14ac:dyDescent="0.2">
      <c r="A469" s="28"/>
      <c r="B469" s="25" t="s">
        <v>1682</v>
      </c>
      <c r="C469" s="25">
        <v>13687807</v>
      </c>
      <c r="D469" s="25" t="s">
        <v>1665</v>
      </c>
      <c r="E469" s="25" t="s">
        <v>185</v>
      </c>
      <c r="F469" s="25" t="s">
        <v>1681</v>
      </c>
      <c r="G469" s="25" t="s">
        <v>183</v>
      </c>
      <c r="H469" s="25" t="s">
        <v>1309</v>
      </c>
      <c r="I469" s="27">
        <v>43346</v>
      </c>
      <c r="K469" s="27">
        <v>43378</v>
      </c>
      <c r="L469" s="26">
        <v>-45100</v>
      </c>
      <c r="M469" s="25">
        <v>2000069164</v>
      </c>
      <c r="N469" s="25" t="s">
        <v>1326</v>
      </c>
      <c r="O469" s="25" t="s">
        <v>180</v>
      </c>
      <c r="P469" s="26">
        <v>45</v>
      </c>
      <c r="Q469" s="25" t="s">
        <v>189</v>
      </c>
      <c r="R469" s="25" t="s">
        <v>244</v>
      </c>
      <c r="S469" s="25" t="s">
        <v>177</v>
      </c>
      <c r="T469" s="25" t="s">
        <v>176</v>
      </c>
      <c r="U469" s="25" t="s">
        <v>175</v>
      </c>
    </row>
    <row r="470" spans="1:21" x14ac:dyDescent="0.2">
      <c r="A470" s="28"/>
      <c r="B470" s="25" t="s">
        <v>1680</v>
      </c>
      <c r="C470" s="25">
        <v>13691156</v>
      </c>
      <c r="D470" s="25" t="s">
        <v>1665</v>
      </c>
      <c r="E470" s="25" t="s">
        <v>185</v>
      </c>
      <c r="F470" s="25" t="s">
        <v>1679</v>
      </c>
      <c r="G470" s="25" t="s">
        <v>183</v>
      </c>
      <c r="H470" s="25" t="s">
        <v>1309</v>
      </c>
      <c r="I470" s="27">
        <v>43348</v>
      </c>
      <c r="K470" s="27">
        <v>43378</v>
      </c>
      <c r="L470" s="26">
        <v>-107100</v>
      </c>
      <c r="M470" s="25">
        <v>2000069164</v>
      </c>
      <c r="N470" s="25" t="s">
        <v>1326</v>
      </c>
      <c r="O470" s="25" t="s">
        <v>180</v>
      </c>
      <c r="P470" s="26">
        <v>45</v>
      </c>
      <c r="Q470" s="25" t="s">
        <v>189</v>
      </c>
      <c r="R470" s="25" t="s">
        <v>244</v>
      </c>
      <c r="S470" s="25" t="s">
        <v>177</v>
      </c>
      <c r="T470" s="25" t="s">
        <v>176</v>
      </c>
      <c r="U470" s="25" t="s">
        <v>175</v>
      </c>
    </row>
    <row r="471" spans="1:21" x14ac:dyDescent="0.2">
      <c r="A471" s="28"/>
      <c r="B471" s="25" t="s">
        <v>1678</v>
      </c>
      <c r="C471" s="25">
        <v>13697499</v>
      </c>
      <c r="D471" s="25" t="s">
        <v>1665</v>
      </c>
      <c r="E471" s="25" t="s">
        <v>185</v>
      </c>
      <c r="F471" s="25" t="s">
        <v>1677</v>
      </c>
      <c r="G471" s="25" t="s">
        <v>183</v>
      </c>
      <c r="H471" s="25" t="s">
        <v>246</v>
      </c>
      <c r="I471" s="27">
        <v>43354</v>
      </c>
      <c r="K471" s="27">
        <v>43378</v>
      </c>
      <c r="L471" s="26">
        <v>-22700</v>
      </c>
      <c r="M471" s="25">
        <v>2000069164</v>
      </c>
      <c r="N471" s="25" t="s">
        <v>1239</v>
      </c>
      <c r="O471" s="25" t="s">
        <v>180</v>
      </c>
      <c r="P471" s="26">
        <v>45</v>
      </c>
      <c r="Q471" s="25" t="s">
        <v>189</v>
      </c>
      <c r="R471" s="25" t="s">
        <v>244</v>
      </c>
      <c r="S471" s="25" t="s">
        <v>177</v>
      </c>
      <c r="T471" s="25" t="s">
        <v>176</v>
      </c>
      <c r="U471" s="25" t="s">
        <v>175</v>
      </c>
    </row>
    <row r="472" spans="1:21" x14ac:dyDescent="0.2">
      <c r="A472" s="28"/>
      <c r="B472" s="25" t="s">
        <v>1676</v>
      </c>
      <c r="C472" s="25">
        <v>13700508</v>
      </c>
      <c r="D472" s="25" t="s">
        <v>1665</v>
      </c>
      <c r="E472" s="25" t="s">
        <v>185</v>
      </c>
      <c r="F472" s="25" t="s">
        <v>1675</v>
      </c>
      <c r="G472" s="25" t="s">
        <v>183</v>
      </c>
      <c r="H472" s="25" t="s">
        <v>1309</v>
      </c>
      <c r="I472" s="27">
        <v>43356</v>
      </c>
      <c r="K472" s="27">
        <v>43378</v>
      </c>
      <c r="L472" s="26">
        <v>-45100</v>
      </c>
      <c r="M472" s="25">
        <v>2000069164</v>
      </c>
      <c r="N472" s="25" t="s">
        <v>1326</v>
      </c>
      <c r="O472" s="25" t="s">
        <v>180</v>
      </c>
      <c r="P472" s="26">
        <v>45</v>
      </c>
      <c r="Q472" s="25" t="s">
        <v>189</v>
      </c>
      <c r="R472" s="25" t="s">
        <v>244</v>
      </c>
      <c r="S472" s="25" t="s">
        <v>177</v>
      </c>
      <c r="T472" s="25" t="s">
        <v>176</v>
      </c>
      <c r="U472" s="25" t="s">
        <v>175</v>
      </c>
    </row>
    <row r="473" spans="1:21" x14ac:dyDescent="0.2">
      <c r="A473" s="28"/>
      <c r="B473" s="25" t="s">
        <v>1674</v>
      </c>
      <c r="C473" s="25">
        <v>13700799</v>
      </c>
      <c r="D473" s="25" t="s">
        <v>1665</v>
      </c>
      <c r="E473" s="25" t="s">
        <v>185</v>
      </c>
      <c r="F473" s="25" t="s">
        <v>1673</v>
      </c>
      <c r="G473" s="25" t="s">
        <v>183</v>
      </c>
      <c r="H473" s="25" t="s">
        <v>246</v>
      </c>
      <c r="I473" s="27">
        <v>43357</v>
      </c>
      <c r="K473" s="27">
        <v>43378</v>
      </c>
      <c r="L473" s="26">
        <v>-31300</v>
      </c>
      <c r="M473" s="25">
        <v>2000069164</v>
      </c>
      <c r="N473" s="25" t="s">
        <v>1043</v>
      </c>
      <c r="O473" s="25" t="s">
        <v>180</v>
      </c>
      <c r="P473" s="26">
        <v>45</v>
      </c>
      <c r="Q473" s="25" t="s">
        <v>189</v>
      </c>
      <c r="R473" s="25" t="s">
        <v>244</v>
      </c>
      <c r="S473" s="25" t="s">
        <v>177</v>
      </c>
      <c r="T473" s="25" t="s">
        <v>176</v>
      </c>
      <c r="U473" s="25" t="s">
        <v>175</v>
      </c>
    </row>
    <row r="474" spans="1:21" x14ac:dyDescent="0.2">
      <c r="A474" s="28"/>
      <c r="B474" s="25" t="s">
        <v>1672</v>
      </c>
      <c r="C474" s="25">
        <v>13712439</v>
      </c>
      <c r="D474" s="25" t="s">
        <v>1665</v>
      </c>
      <c r="E474" s="25" t="s">
        <v>185</v>
      </c>
      <c r="F474" s="25" t="s">
        <v>1671</v>
      </c>
      <c r="G474" s="25" t="s">
        <v>183</v>
      </c>
      <c r="H474" s="25" t="s">
        <v>656</v>
      </c>
      <c r="I474" s="27">
        <v>43367</v>
      </c>
      <c r="K474" s="27">
        <v>43378</v>
      </c>
      <c r="L474" s="26">
        <v>-126025</v>
      </c>
      <c r="M474" s="25">
        <v>2000069164</v>
      </c>
      <c r="N474" s="25" t="s">
        <v>1631</v>
      </c>
      <c r="O474" s="25" t="s">
        <v>180</v>
      </c>
      <c r="P474" s="26">
        <v>45</v>
      </c>
      <c r="Q474" s="25" t="s">
        <v>189</v>
      </c>
      <c r="R474" s="25" t="s">
        <v>244</v>
      </c>
      <c r="S474" s="25" t="s">
        <v>177</v>
      </c>
      <c r="T474" s="25" t="s">
        <v>176</v>
      </c>
      <c r="U474" s="25" t="s">
        <v>175</v>
      </c>
    </row>
    <row r="475" spans="1:21" x14ac:dyDescent="0.2">
      <c r="A475" s="28"/>
      <c r="B475" s="25" t="s">
        <v>1670</v>
      </c>
      <c r="C475" s="25">
        <v>13712709</v>
      </c>
      <c r="D475" s="25" t="s">
        <v>1665</v>
      </c>
      <c r="E475" s="25" t="s">
        <v>185</v>
      </c>
      <c r="F475" s="25" t="s">
        <v>1669</v>
      </c>
      <c r="G475" s="25" t="s">
        <v>183</v>
      </c>
      <c r="H475" s="25" t="s">
        <v>1309</v>
      </c>
      <c r="I475" s="27">
        <v>43368</v>
      </c>
      <c r="K475" s="27">
        <v>43378</v>
      </c>
      <c r="L475" s="26">
        <v>-77800</v>
      </c>
      <c r="M475" s="25">
        <v>2000069164</v>
      </c>
      <c r="N475" s="25" t="s">
        <v>1308</v>
      </c>
      <c r="O475" s="25" t="s">
        <v>180</v>
      </c>
      <c r="P475" s="26">
        <v>45</v>
      </c>
      <c r="Q475" s="25" t="s">
        <v>189</v>
      </c>
      <c r="R475" s="25" t="s">
        <v>244</v>
      </c>
      <c r="S475" s="25" t="s">
        <v>177</v>
      </c>
      <c r="T475" s="25" t="s">
        <v>176</v>
      </c>
      <c r="U475" s="25" t="s">
        <v>175</v>
      </c>
    </row>
    <row r="476" spans="1:21" x14ac:dyDescent="0.2">
      <c r="A476" s="28"/>
      <c r="B476" s="25" t="s">
        <v>1668</v>
      </c>
      <c r="C476" s="25">
        <v>13712865</v>
      </c>
      <c r="D476" s="25" t="s">
        <v>1665</v>
      </c>
      <c r="E476" s="25" t="s">
        <v>185</v>
      </c>
      <c r="F476" s="25" t="s">
        <v>1667</v>
      </c>
      <c r="G476" s="25" t="s">
        <v>183</v>
      </c>
      <c r="H476" s="25" t="s">
        <v>246</v>
      </c>
      <c r="I476" s="27">
        <v>43368</v>
      </c>
      <c r="K476" s="27">
        <v>43378</v>
      </c>
      <c r="L476" s="26">
        <v>-357500</v>
      </c>
      <c r="M476" s="25">
        <v>2000069164</v>
      </c>
      <c r="N476" s="25" t="s">
        <v>1239</v>
      </c>
      <c r="O476" s="25" t="s">
        <v>180</v>
      </c>
      <c r="P476" s="26">
        <v>45</v>
      </c>
      <c r="Q476" s="25" t="s">
        <v>189</v>
      </c>
      <c r="R476" s="25" t="s">
        <v>244</v>
      </c>
      <c r="S476" s="25" t="s">
        <v>177</v>
      </c>
      <c r="T476" s="25" t="s">
        <v>176</v>
      </c>
      <c r="U476" s="25" t="s">
        <v>175</v>
      </c>
    </row>
    <row r="477" spans="1:21" x14ac:dyDescent="0.2">
      <c r="A477" s="28"/>
      <c r="B477" s="25" t="s">
        <v>1666</v>
      </c>
      <c r="C477" s="25">
        <v>13712902</v>
      </c>
      <c r="D477" s="25" t="s">
        <v>1665</v>
      </c>
      <c r="E477" s="25" t="s">
        <v>185</v>
      </c>
      <c r="F477" s="25" t="s">
        <v>1664</v>
      </c>
      <c r="G477" s="25" t="s">
        <v>183</v>
      </c>
      <c r="H477" s="25" t="s">
        <v>1309</v>
      </c>
      <c r="I477" s="27">
        <v>43368</v>
      </c>
      <c r="K477" s="27">
        <v>43378</v>
      </c>
      <c r="L477" s="26">
        <v>-45100</v>
      </c>
      <c r="M477" s="25">
        <v>2000069164</v>
      </c>
      <c r="N477" s="25" t="s">
        <v>1308</v>
      </c>
      <c r="O477" s="25" t="s">
        <v>180</v>
      </c>
      <c r="P477" s="26">
        <v>45</v>
      </c>
      <c r="Q477" s="25" t="s">
        <v>189</v>
      </c>
      <c r="R477" s="25" t="s">
        <v>244</v>
      </c>
      <c r="S477" s="25" t="s">
        <v>177</v>
      </c>
      <c r="T477" s="25" t="s">
        <v>176</v>
      </c>
      <c r="U477" s="25" t="s">
        <v>175</v>
      </c>
    </row>
    <row r="478" spans="1:21" x14ac:dyDescent="0.2">
      <c r="A478" s="28"/>
      <c r="B478" s="25" t="s">
        <v>1663</v>
      </c>
      <c r="C478" s="25">
        <v>13717021</v>
      </c>
      <c r="D478" s="25" t="s">
        <v>1662</v>
      </c>
      <c r="E478" s="25" t="s">
        <v>185</v>
      </c>
      <c r="F478" s="25" t="s">
        <v>1661</v>
      </c>
      <c r="G478" s="25" t="s">
        <v>183</v>
      </c>
      <c r="H478" s="25" t="s">
        <v>1309</v>
      </c>
      <c r="I478" s="27">
        <v>43370</v>
      </c>
      <c r="K478" s="27">
        <v>43378</v>
      </c>
      <c r="L478" s="26">
        <v>-51724</v>
      </c>
      <c r="M478" s="25">
        <v>2000069164</v>
      </c>
      <c r="N478" s="25" t="s">
        <v>1326</v>
      </c>
      <c r="O478" s="25" t="s">
        <v>180</v>
      </c>
      <c r="P478" s="26">
        <v>45</v>
      </c>
      <c r="Q478" s="25" t="s">
        <v>189</v>
      </c>
      <c r="R478" s="25" t="s">
        <v>244</v>
      </c>
      <c r="S478" s="25" t="s">
        <v>177</v>
      </c>
      <c r="T478" s="25" t="s">
        <v>176</v>
      </c>
      <c r="U478" s="25" t="s">
        <v>175</v>
      </c>
    </row>
    <row r="479" spans="1:21" x14ac:dyDescent="0.2">
      <c r="A479" s="28"/>
      <c r="B479" s="25" t="s">
        <v>1459</v>
      </c>
      <c r="C479" s="25">
        <v>13679446</v>
      </c>
      <c r="D479" s="25" t="s">
        <v>1660</v>
      </c>
      <c r="E479" s="25" t="s">
        <v>351</v>
      </c>
      <c r="F479" s="25" t="s">
        <v>1457</v>
      </c>
      <c r="G479" s="25" t="s">
        <v>419</v>
      </c>
      <c r="H479" s="25" t="s">
        <v>246</v>
      </c>
      <c r="I479" s="27">
        <v>43453</v>
      </c>
      <c r="K479" s="27">
        <v>43453</v>
      </c>
      <c r="L479" s="26">
        <v>757700</v>
      </c>
      <c r="M479" s="25">
        <v>2000069164</v>
      </c>
      <c r="N479" s="25" t="s">
        <v>1659</v>
      </c>
      <c r="O479" s="25" t="s">
        <v>271</v>
      </c>
      <c r="P479" s="26">
        <v>0</v>
      </c>
      <c r="Q479" s="25" t="s">
        <v>1455</v>
      </c>
      <c r="R479" s="25" t="s">
        <v>1454</v>
      </c>
      <c r="S479" s="25" t="s">
        <v>177</v>
      </c>
      <c r="T479" s="25" t="s">
        <v>176</v>
      </c>
      <c r="U479" s="25" t="s">
        <v>175</v>
      </c>
    </row>
    <row r="480" spans="1:21" x14ac:dyDescent="0.2">
      <c r="A480" s="28"/>
      <c r="B480" s="25" t="s">
        <v>1459</v>
      </c>
      <c r="C480" s="25">
        <v>13679446</v>
      </c>
      <c r="D480" s="25" t="s">
        <v>1660</v>
      </c>
      <c r="E480" s="25" t="s">
        <v>185</v>
      </c>
      <c r="F480" s="25" t="s">
        <v>1457</v>
      </c>
      <c r="G480" s="25" t="s">
        <v>419</v>
      </c>
      <c r="H480" s="25" t="s">
        <v>652</v>
      </c>
      <c r="I480" s="27">
        <v>43453</v>
      </c>
      <c r="K480" s="27">
        <v>43453</v>
      </c>
      <c r="L480" s="26">
        <v>-702314</v>
      </c>
      <c r="M480" s="25">
        <v>2000069164</v>
      </c>
      <c r="N480" s="25" t="s">
        <v>1659</v>
      </c>
      <c r="O480" s="25" t="s">
        <v>180</v>
      </c>
      <c r="P480" s="26">
        <v>0</v>
      </c>
      <c r="Q480" s="25" t="s">
        <v>1455</v>
      </c>
      <c r="R480" s="25" t="s">
        <v>1454</v>
      </c>
      <c r="S480" s="25" t="s">
        <v>177</v>
      </c>
      <c r="T480" s="25" t="s">
        <v>176</v>
      </c>
      <c r="U480" s="25" t="s">
        <v>175</v>
      </c>
    </row>
    <row r="481" spans="1:21" x14ac:dyDescent="0.2">
      <c r="A481" s="28"/>
      <c r="B481" s="25" t="s">
        <v>1658</v>
      </c>
      <c r="C481" s="25">
        <v>13534577</v>
      </c>
      <c r="D481" s="25" t="s">
        <v>1643</v>
      </c>
      <c r="E481" s="25" t="s">
        <v>351</v>
      </c>
      <c r="F481" s="25" t="s">
        <v>1657</v>
      </c>
      <c r="G481" s="25" t="s">
        <v>183</v>
      </c>
      <c r="H481" s="25" t="s">
        <v>246</v>
      </c>
      <c r="I481" s="27">
        <v>43194</v>
      </c>
      <c r="K481" s="27">
        <v>43257</v>
      </c>
      <c r="L481" s="26">
        <v>-757700</v>
      </c>
      <c r="M481" s="25">
        <v>2000069164</v>
      </c>
      <c r="N481" s="25" t="s">
        <v>1043</v>
      </c>
      <c r="O481" s="25" t="s">
        <v>180</v>
      </c>
      <c r="P481" s="26">
        <v>166</v>
      </c>
      <c r="Q481" s="25" t="s">
        <v>189</v>
      </c>
      <c r="R481" s="25" t="s">
        <v>244</v>
      </c>
      <c r="S481" s="25" t="s">
        <v>177</v>
      </c>
      <c r="T481" s="25" t="s">
        <v>176</v>
      </c>
      <c r="U481" s="25" t="s">
        <v>175</v>
      </c>
    </row>
    <row r="482" spans="1:21" x14ac:dyDescent="0.2">
      <c r="A482" s="28"/>
      <c r="B482" s="25" t="s">
        <v>1656</v>
      </c>
      <c r="C482" s="25">
        <v>13537950</v>
      </c>
      <c r="D482" s="25" t="s">
        <v>1643</v>
      </c>
      <c r="E482" s="25" t="s">
        <v>185</v>
      </c>
      <c r="F482" s="25" t="s">
        <v>1655</v>
      </c>
      <c r="G482" s="25" t="s">
        <v>183</v>
      </c>
      <c r="H482" s="25" t="s">
        <v>246</v>
      </c>
      <c r="I482" s="27">
        <v>43197</v>
      </c>
      <c r="K482" s="27">
        <v>43257</v>
      </c>
      <c r="L482" s="26">
        <v>-45100</v>
      </c>
      <c r="M482" s="25">
        <v>2000069164</v>
      </c>
      <c r="N482" s="25" t="s">
        <v>1239</v>
      </c>
      <c r="O482" s="25" t="s">
        <v>180</v>
      </c>
      <c r="P482" s="26">
        <v>166</v>
      </c>
      <c r="Q482" s="25" t="s">
        <v>189</v>
      </c>
      <c r="R482" s="25" t="s">
        <v>244</v>
      </c>
      <c r="S482" s="25" t="s">
        <v>177</v>
      </c>
      <c r="T482" s="25" t="s">
        <v>176</v>
      </c>
      <c r="U482" s="25" t="s">
        <v>175</v>
      </c>
    </row>
    <row r="483" spans="1:21" x14ac:dyDescent="0.2">
      <c r="A483" s="28"/>
      <c r="B483" s="25" t="s">
        <v>1654</v>
      </c>
      <c r="C483" s="25">
        <v>13544021</v>
      </c>
      <c r="D483" s="25" t="s">
        <v>1643</v>
      </c>
      <c r="E483" s="25" t="s">
        <v>185</v>
      </c>
      <c r="F483" s="25" t="s">
        <v>1653</v>
      </c>
      <c r="G483" s="25" t="s">
        <v>183</v>
      </c>
      <c r="H483" s="25" t="s">
        <v>246</v>
      </c>
      <c r="I483" s="27">
        <v>43203</v>
      </c>
      <c r="K483" s="27">
        <v>43257</v>
      </c>
      <c r="L483" s="26">
        <v>-107100</v>
      </c>
      <c r="M483" s="25">
        <v>2000069164</v>
      </c>
      <c r="N483" s="25" t="s">
        <v>1239</v>
      </c>
      <c r="O483" s="25" t="s">
        <v>180</v>
      </c>
      <c r="P483" s="26">
        <v>166</v>
      </c>
      <c r="Q483" s="25" t="s">
        <v>189</v>
      </c>
      <c r="R483" s="25" t="s">
        <v>244</v>
      </c>
      <c r="S483" s="25" t="s">
        <v>177</v>
      </c>
      <c r="T483" s="25" t="s">
        <v>176</v>
      </c>
      <c r="U483" s="25" t="s">
        <v>175</v>
      </c>
    </row>
    <row r="484" spans="1:21" x14ac:dyDescent="0.2">
      <c r="A484" s="28"/>
      <c r="B484" s="25" t="s">
        <v>1652</v>
      </c>
      <c r="C484" s="25">
        <v>13545646</v>
      </c>
      <c r="D484" s="25" t="s">
        <v>1643</v>
      </c>
      <c r="E484" s="25" t="s">
        <v>185</v>
      </c>
      <c r="F484" s="25" t="s">
        <v>1651</v>
      </c>
      <c r="G484" s="25" t="s">
        <v>183</v>
      </c>
      <c r="H484" s="25" t="s">
        <v>246</v>
      </c>
      <c r="I484" s="27">
        <v>43206</v>
      </c>
      <c r="K484" s="27">
        <v>43257</v>
      </c>
      <c r="L484" s="26">
        <v>-31300</v>
      </c>
      <c r="M484" s="25">
        <v>2000069164</v>
      </c>
      <c r="N484" s="25" t="s">
        <v>1239</v>
      </c>
      <c r="O484" s="25" t="s">
        <v>180</v>
      </c>
      <c r="P484" s="26">
        <v>166</v>
      </c>
      <c r="Q484" s="25" t="s">
        <v>189</v>
      </c>
      <c r="R484" s="25" t="s">
        <v>244</v>
      </c>
      <c r="S484" s="25" t="s">
        <v>177</v>
      </c>
      <c r="T484" s="25" t="s">
        <v>176</v>
      </c>
      <c r="U484" s="25" t="s">
        <v>175</v>
      </c>
    </row>
    <row r="485" spans="1:21" x14ac:dyDescent="0.2">
      <c r="A485" s="28"/>
      <c r="B485" s="25" t="s">
        <v>1650</v>
      </c>
      <c r="C485" s="25">
        <v>13546518</v>
      </c>
      <c r="D485" s="25" t="s">
        <v>1643</v>
      </c>
      <c r="E485" s="25" t="s">
        <v>185</v>
      </c>
      <c r="F485" s="25" t="s">
        <v>1649</v>
      </c>
      <c r="G485" s="25" t="s">
        <v>183</v>
      </c>
      <c r="H485" s="25" t="s">
        <v>246</v>
      </c>
      <c r="I485" s="27">
        <v>43207</v>
      </c>
      <c r="K485" s="27">
        <v>43257</v>
      </c>
      <c r="L485" s="26">
        <v>-45100</v>
      </c>
      <c r="M485" s="25">
        <v>2000069164</v>
      </c>
      <c r="N485" s="25" t="s">
        <v>1239</v>
      </c>
      <c r="O485" s="25" t="s">
        <v>180</v>
      </c>
      <c r="P485" s="26">
        <v>166</v>
      </c>
      <c r="Q485" s="25" t="s">
        <v>189</v>
      </c>
      <c r="R485" s="25" t="s">
        <v>244</v>
      </c>
      <c r="S485" s="25" t="s">
        <v>177</v>
      </c>
      <c r="T485" s="25" t="s">
        <v>176</v>
      </c>
      <c r="U485" s="25" t="s">
        <v>175</v>
      </c>
    </row>
    <row r="486" spans="1:21" x14ac:dyDescent="0.2">
      <c r="A486" s="28"/>
      <c r="B486" s="25" t="s">
        <v>1648</v>
      </c>
      <c r="C486" s="25">
        <v>13554517</v>
      </c>
      <c r="D486" s="25" t="s">
        <v>1643</v>
      </c>
      <c r="E486" s="25" t="s">
        <v>185</v>
      </c>
      <c r="F486" s="25" t="s">
        <v>1647</v>
      </c>
      <c r="G486" s="25" t="s">
        <v>183</v>
      </c>
      <c r="H486" s="25" t="s">
        <v>246</v>
      </c>
      <c r="I486" s="27">
        <v>43214</v>
      </c>
      <c r="K486" s="27">
        <v>43257</v>
      </c>
      <c r="L486" s="26">
        <v>-45100</v>
      </c>
      <c r="M486" s="25">
        <v>2000069164</v>
      </c>
      <c r="N486" s="25" t="s">
        <v>1239</v>
      </c>
      <c r="O486" s="25" t="s">
        <v>180</v>
      </c>
      <c r="P486" s="26">
        <v>166</v>
      </c>
      <c r="Q486" s="25" t="s">
        <v>189</v>
      </c>
      <c r="R486" s="25" t="s">
        <v>244</v>
      </c>
      <c r="S486" s="25" t="s">
        <v>177</v>
      </c>
      <c r="T486" s="25" t="s">
        <v>176</v>
      </c>
      <c r="U486" s="25" t="s">
        <v>175</v>
      </c>
    </row>
    <row r="487" spans="1:21" x14ac:dyDescent="0.2">
      <c r="A487" s="28"/>
      <c r="B487" s="25" t="s">
        <v>1646</v>
      </c>
      <c r="C487" s="25">
        <v>13557953</v>
      </c>
      <c r="D487" s="25" t="s">
        <v>1643</v>
      </c>
      <c r="E487" s="25" t="s">
        <v>185</v>
      </c>
      <c r="F487" s="25" t="s">
        <v>1645</v>
      </c>
      <c r="G487" s="25" t="s">
        <v>183</v>
      </c>
      <c r="H487" s="25" t="s">
        <v>246</v>
      </c>
      <c r="I487" s="27">
        <v>43217</v>
      </c>
      <c r="K487" s="27">
        <v>43257</v>
      </c>
      <c r="L487" s="26">
        <v>-68100</v>
      </c>
      <c r="M487" s="25">
        <v>2000069164</v>
      </c>
      <c r="N487" s="25" t="s">
        <v>1239</v>
      </c>
      <c r="O487" s="25" t="s">
        <v>180</v>
      </c>
      <c r="P487" s="26">
        <v>166</v>
      </c>
      <c r="Q487" s="25" t="s">
        <v>189</v>
      </c>
      <c r="R487" s="25" t="s">
        <v>244</v>
      </c>
      <c r="S487" s="25" t="s">
        <v>177</v>
      </c>
      <c r="T487" s="25" t="s">
        <v>176</v>
      </c>
      <c r="U487" s="25" t="s">
        <v>175</v>
      </c>
    </row>
    <row r="488" spans="1:21" x14ac:dyDescent="0.2">
      <c r="A488" s="28"/>
      <c r="B488" s="25" t="s">
        <v>1644</v>
      </c>
      <c r="C488" s="25">
        <v>13559360</v>
      </c>
      <c r="D488" s="25" t="s">
        <v>1643</v>
      </c>
      <c r="E488" s="25" t="s">
        <v>185</v>
      </c>
      <c r="F488" s="25" t="s">
        <v>1642</v>
      </c>
      <c r="G488" s="25" t="s">
        <v>183</v>
      </c>
      <c r="H488" s="25" t="s">
        <v>246</v>
      </c>
      <c r="I488" s="27">
        <v>43218</v>
      </c>
      <c r="K488" s="27">
        <v>43257</v>
      </c>
      <c r="L488" s="26">
        <v>-21300</v>
      </c>
      <c r="M488" s="25">
        <v>2000069164</v>
      </c>
      <c r="N488" s="25" t="s">
        <v>1239</v>
      </c>
      <c r="O488" s="25" t="s">
        <v>180</v>
      </c>
      <c r="P488" s="26">
        <v>166</v>
      </c>
      <c r="Q488" s="25" t="s">
        <v>189</v>
      </c>
      <c r="R488" s="25" t="s">
        <v>244</v>
      </c>
      <c r="S488" s="25" t="s">
        <v>177</v>
      </c>
      <c r="T488" s="25" t="s">
        <v>176</v>
      </c>
      <c r="U488" s="25" t="s">
        <v>175</v>
      </c>
    </row>
    <row r="489" spans="1:21" x14ac:dyDescent="0.2">
      <c r="A489" s="28"/>
      <c r="B489" s="25" t="s">
        <v>1641</v>
      </c>
      <c r="C489" s="25">
        <v>13566949</v>
      </c>
      <c r="D489" s="25" t="s">
        <v>1636</v>
      </c>
      <c r="E489" s="25" t="s">
        <v>185</v>
      </c>
      <c r="F489" s="25" t="s">
        <v>1640</v>
      </c>
      <c r="G489" s="25" t="s">
        <v>183</v>
      </c>
      <c r="H489" s="25" t="s">
        <v>246</v>
      </c>
      <c r="I489" s="27">
        <v>43227</v>
      </c>
      <c r="K489" s="27">
        <v>43257</v>
      </c>
      <c r="L489" s="26">
        <v>-45100</v>
      </c>
      <c r="M489" s="25">
        <v>2000069164</v>
      </c>
      <c r="N489" s="25" t="s">
        <v>1239</v>
      </c>
      <c r="O489" s="25" t="s">
        <v>180</v>
      </c>
      <c r="P489" s="26">
        <v>166</v>
      </c>
      <c r="Q489" s="25" t="s">
        <v>189</v>
      </c>
      <c r="R489" s="25" t="s">
        <v>244</v>
      </c>
      <c r="S489" s="25" t="s">
        <v>177</v>
      </c>
      <c r="T489" s="25" t="s">
        <v>176</v>
      </c>
      <c r="U489" s="25" t="s">
        <v>175</v>
      </c>
    </row>
    <row r="490" spans="1:21" x14ac:dyDescent="0.2">
      <c r="A490" s="28"/>
      <c r="B490" s="25" t="s">
        <v>1639</v>
      </c>
      <c r="C490" s="25">
        <v>13571376</v>
      </c>
      <c r="D490" s="25" t="s">
        <v>1636</v>
      </c>
      <c r="E490" s="25" t="s">
        <v>185</v>
      </c>
      <c r="F490" s="25" t="s">
        <v>1638</v>
      </c>
      <c r="G490" s="25" t="s">
        <v>183</v>
      </c>
      <c r="H490" s="25" t="s">
        <v>246</v>
      </c>
      <c r="I490" s="27">
        <v>43231</v>
      </c>
      <c r="K490" s="27">
        <v>43257</v>
      </c>
      <c r="L490" s="26">
        <v>-399200</v>
      </c>
      <c r="M490" s="25">
        <v>2000069164</v>
      </c>
      <c r="N490" s="25" t="s">
        <v>1239</v>
      </c>
      <c r="O490" s="25" t="s">
        <v>180</v>
      </c>
      <c r="P490" s="26">
        <v>166</v>
      </c>
      <c r="Q490" s="25" t="s">
        <v>189</v>
      </c>
      <c r="R490" s="25" t="s">
        <v>244</v>
      </c>
      <c r="S490" s="25" t="s">
        <v>177</v>
      </c>
      <c r="T490" s="25" t="s">
        <v>176</v>
      </c>
      <c r="U490" s="25" t="s">
        <v>175</v>
      </c>
    </row>
    <row r="491" spans="1:21" x14ac:dyDescent="0.2">
      <c r="A491" s="28"/>
      <c r="B491" s="25" t="s">
        <v>1637</v>
      </c>
      <c r="C491" s="25">
        <v>13578051</v>
      </c>
      <c r="D491" s="25" t="s">
        <v>1636</v>
      </c>
      <c r="E491" s="25" t="s">
        <v>185</v>
      </c>
      <c r="F491" s="25" t="s">
        <v>1635</v>
      </c>
      <c r="G491" s="25" t="s">
        <v>183</v>
      </c>
      <c r="H491" s="25" t="s">
        <v>246</v>
      </c>
      <c r="I491" s="27">
        <v>43238</v>
      </c>
      <c r="K491" s="27">
        <v>43257</v>
      </c>
      <c r="L491" s="26">
        <v>-31300</v>
      </c>
      <c r="M491" s="25">
        <v>2000069164</v>
      </c>
      <c r="N491" s="25" t="s">
        <v>1239</v>
      </c>
      <c r="O491" s="25" t="s">
        <v>180</v>
      </c>
      <c r="P491" s="26">
        <v>166</v>
      </c>
      <c r="Q491" s="25" t="s">
        <v>189</v>
      </c>
      <c r="R491" s="25" t="s">
        <v>244</v>
      </c>
      <c r="S491" s="25" t="s">
        <v>177</v>
      </c>
      <c r="T491" s="25" t="s">
        <v>176</v>
      </c>
      <c r="U491" s="25" t="s">
        <v>175</v>
      </c>
    </row>
    <row r="492" spans="1:21" x14ac:dyDescent="0.2">
      <c r="A492" s="28"/>
      <c r="B492" s="25" t="s">
        <v>1634</v>
      </c>
      <c r="C492" s="25">
        <v>13585331</v>
      </c>
      <c r="D492" s="25" t="s">
        <v>1633</v>
      </c>
      <c r="E492" s="25" t="s">
        <v>185</v>
      </c>
      <c r="F492" s="25" t="s">
        <v>1632</v>
      </c>
      <c r="G492" s="25" t="s">
        <v>183</v>
      </c>
      <c r="H492" s="25" t="s">
        <v>656</v>
      </c>
      <c r="I492" s="27">
        <v>43244</v>
      </c>
      <c r="K492" s="27">
        <v>43257</v>
      </c>
      <c r="L492" s="26">
        <v>-182551</v>
      </c>
      <c r="M492" s="25">
        <v>2000069164</v>
      </c>
      <c r="N492" s="25" t="s">
        <v>1631</v>
      </c>
      <c r="O492" s="25" t="s">
        <v>180</v>
      </c>
      <c r="P492" s="26">
        <v>166</v>
      </c>
      <c r="Q492" s="25" t="s">
        <v>189</v>
      </c>
      <c r="R492" s="25" t="s">
        <v>244</v>
      </c>
      <c r="S492" s="25" t="s">
        <v>177</v>
      </c>
      <c r="T492" s="25" t="s">
        <v>176</v>
      </c>
      <c r="U492" s="25" t="s">
        <v>175</v>
      </c>
    </row>
    <row r="493" spans="1:21" x14ac:dyDescent="0.2">
      <c r="A493" s="28"/>
      <c r="B493" s="25" t="s">
        <v>1630</v>
      </c>
      <c r="C493" s="25">
        <v>13592246</v>
      </c>
      <c r="D493" s="25" t="s">
        <v>1629</v>
      </c>
      <c r="E493" s="25" t="s">
        <v>185</v>
      </c>
      <c r="F493" s="25" t="s">
        <v>1628</v>
      </c>
      <c r="G493" s="25" t="s">
        <v>183</v>
      </c>
      <c r="H493" s="25" t="s">
        <v>246</v>
      </c>
      <c r="I493" s="27">
        <v>43251</v>
      </c>
      <c r="K493" s="27">
        <v>43257</v>
      </c>
      <c r="L493" s="26">
        <v>-22700</v>
      </c>
      <c r="M493" s="25">
        <v>2000069164</v>
      </c>
      <c r="N493" s="25" t="s">
        <v>1043</v>
      </c>
      <c r="O493" s="25" t="s">
        <v>180</v>
      </c>
      <c r="P493" s="26">
        <v>166</v>
      </c>
      <c r="Q493" s="25" t="s">
        <v>189</v>
      </c>
      <c r="R493" s="25" t="s">
        <v>244</v>
      </c>
      <c r="S493" s="25" t="s">
        <v>177</v>
      </c>
      <c r="T493" s="25" t="s">
        <v>176</v>
      </c>
      <c r="U493" s="25" t="s">
        <v>175</v>
      </c>
    </row>
    <row r="494" spans="1:21" x14ac:dyDescent="0.2">
      <c r="A494" s="28"/>
      <c r="B494" s="25" t="s">
        <v>1627</v>
      </c>
      <c r="C494" s="25">
        <v>13595937</v>
      </c>
      <c r="D494" s="25" t="s">
        <v>1614</v>
      </c>
      <c r="E494" s="25" t="s">
        <v>185</v>
      </c>
      <c r="F494" s="25" t="s">
        <v>1626</v>
      </c>
      <c r="G494" s="25" t="s">
        <v>183</v>
      </c>
      <c r="H494" s="25" t="s">
        <v>246</v>
      </c>
      <c r="I494" s="27">
        <v>43256</v>
      </c>
      <c r="K494" s="27">
        <v>43328</v>
      </c>
      <c r="L494" s="26">
        <v>-75500</v>
      </c>
      <c r="M494" s="25">
        <v>2000069164</v>
      </c>
      <c r="N494" s="25" t="s">
        <v>1239</v>
      </c>
      <c r="O494" s="25" t="s">
        <v>180</v>
      </c>
      <c r="P494" s="26">
        <v>95</v>
      </c>
      <c r="Q494" s="25" t="s">
        <v>189</v>
      </c>
      <c r="R494" s="25" t="s">
        <v>244</v>
      </c>
      <c r="S494" s="25" t="s">
        <v>177</v>
      </c>
      <c r="T494" s="25" t="s">
        <v>176</v>
      </c>
      <c r="U494" s="25" t="s">
        <v>175</v>
      </c>
    </row>
    <row r="495" spans="1:21" x14ac:dyDescent="0.2">
      <c r="A495" s="28"/>
      <c r="B495" s="25" t="s">
        <v>1625</v>
      </c>
      <c r="C495" s="25">
        <v>13601153</v>
      </c>
      <c r="D495" s="25" t="s">
        <v>1614</v>
      </c>
      <c r="E495" s="25" t="s">
        <v>185</v>
      </c>
      <c r="F495" s="25" t="s">
        <v>1624</v>
      </c>
      <c r="G495" s="25" t="s">
        <v>183</v>
      </c>
      <c r="H495" s="25" t="s">
        <v>246</v>
      </c>
      <c r="I495" s="27">
        <v>43259</v>
      </c>
      <c r="K495" s="27">
        <v>43328</v>
      </c>
      <c r="L495" s="26">
        <v>-217545</v>
      </c>
      <c r="M495" s="25">
        <v>2000069164</v>
      </c>
      <c r="N495" s="25" t="s">
        <v>1239</v>
      </c>
      <c r="O495" s="25" t="s">
        <v>180</v>
      </c>
      <c r="P495" s="26">
        <v>95</v>
      </c>
      <c r="Q495" s="25" t="s">
        <v>189</v>
      </c>
      <c r="R495" s="25" t="s">
        <v>244</v>
      </c>
      <c r="S495" s="25" t="s">
        <v>177</v>
      </c>
      <c r="T495" s="25" t="s">
        <v>176</v>
      </c>
      <c r="U495" s="25" t="s">
        <v>175</v>
      </c>
    </row>
    <row r="496" spans="1:21" x14ac:dyDescent="0.2">
      <c r="A496" s="28"/>
      <c r="B496" s="25" t="s">
        <v>1623</v>
      </c>
      <c r="C496" s="25">
        <v>13604294</v>
      </c>
      <c r="D496" s="25" t="s">
        <v>1614</v>
      </c>
      <c r="E496" s="25" t="s">
        <v>185</v>
      </c>
      <c r="F496" s="25" t="s">
        <v>1622</v>
      </c>
      <c r="G496" s="25" t="s">
        <v>183</v>
      </c>
      <c r="H496" s="25" t="s">
        <v>246</v>
      </c>
      <c r="I496" s="27">
        <v>43264</v>
      </c>
      <c r="K496" s="27">
        <v>43328</v>
      </c>
      <c r="L496" s="26">
        <v>-19200</v>
      </c>
      <c r="M496" s="25">
        <v>2000069164</v>
      </c>
      <c r="N496" s="25" t="s">
        <v>1239</v>
      </c>
      <c r="O496" s="25" t="s">
        <v>180</v>
      </c>
      <c r="P496" s="26">
        <v>95</v>
      </c>
      <c r="Q496" s="25" t="s">
        <v>189</v>
      </c>
      <c r="R496" s="25" t="s">
        <v>244</v>
      </c>
      <c r="S496" s="25" t="s">
        <v>177</v>
      </c>
      <c r="T496" s="25" t="s">
        <v>176</v>
      </c>
      <c r="U496" s="25" t="s">
        <v>175</v>
      </c>
    </row>
    <row r="497" spans="1:21" x14ac:dyDescent="0.2">
      <c r="A497" s="28"/>
      <c r="B497" s="25" t="s">
        <v>1621</v>
      </c>
      <c r="C497" s="25">
        <v>13606881</v>
      </c>
      <c r="D497" s="25" t="s">
        <v>1614</v>
      </c>
      <c r="E497" s="25" t="s">
        <v>185</v>
      </c>
      <c r="F497" s="25" t="s">
        <v>1620</v>
      </c>
      <c r="G497" s="25" t="s">
        <v>183</v>
      </c>
      <c r="H497" s="25" t="s">
        <v>246</v>
      </c>
      <c r="I497" s="27">
        <v>43266</v>
      </c>
      <c r="K497" s="27">
        <v>43328</v>
      </c>
      <c r="L497" s="26">
        <v>-31300</v>
      </c>
      <c r="M497" s="25">
        <v>2000069164</v>
      </c>
      <c r="N497" s="25" t="s">
        <v>1239</v>
      </c>
      <c r="O497" s="25" t="s">
        <v>180</v>
      </c>
      <c r="P497" s="26">
        <v>95</v>
      </c>
      <c r="Q497" s="25" t="s">
        <v>189</v>
      </c>
      <c r="R497" s="25" t="s">
        <v>244</v>
      </c>
      <c r="S497" s="25" t="s">
        <v>177</v>
      </c>
      <c r="T497" s="25" t="s">
        <v>176</v>
      </c>
      <c r="U497" s="25" t="s">
        <v>175</v>
      </c>
    </row>
    <row r="498" spans="1:21" x14ac:dyDescent="0.2">
      <c r="A498" s="28"/>
      <c r="B498" s="25" t="s">
        <v>1619</v>
      </c>
      <c r="C498" s="25">
        <v>13615140</v>
      </c>
      <c r="D498" s="25" t="s">
        <v>1614</v>
      </c>
      <c r="E498" s="25" t="s">
        <v>185</v>
      </c>
      <c r="F498" s="25" t="s">
        <v>1618</v>
      </c>
      <c r="G498" s="25" t="s">
        <v>183</v>
      </c>
      <c r="H498" s="25" t="s">
        <v>246</v>
      </c>
      <c r="I498" s="27">
        <v>43273</v>
      </c>
      <c r="K498" s="27">
        <v>43328</v>
      </c>
      <c r="L498" s="26">
        <v>-45100</v>
      </c>
      <c r="M498" s="25">
        <v>2000069164</v>
      </c>
      <c r="N498" s="25" t="s">
        <v>1239</v>
      </c>
      <c r="O498" s="25" t="s">
        <v>180</v>
      </c>
      <c r="P498" s="26">
        <v>95</v>
      </c>
      <c r="Q498" s="25" t="s">
        <v>189</v>
      </c>
      <c r="R498" s="25" t="s">
        <v>244</v>
      </c>
      <c r="S498" s="25" t="s">
        <v>177</v>
      </c>
      <c r="T498" s="25" t="s">
        <v>176</v>
      </c>
      <c r="U498" s="25" t="s">
        <v>175</v>
      </c>
    </row>
    <row r="499" spans="1:21" x14ac:dyDescent="0.2">
      <c r="A499" s="28"/>
      <c r="B499" s="25" t="s">
        <v>1617</v>
      </c>
      <c r="C499" s="25">
        <v>13617324</v>
      </c>
      <c r="D499" s="25" t="s">
        <v>1614</v>
      </c>
      <c r="E499" s="25" t="s">
        <v>185</v>
      </c>
      <c r="F499" s="25" t="s">
        <v>1616</v>
      </c>
      <c r="G499" s="25" t="s">
        <v>183</v>
      </c>
      <c r="H499" s="25" t="s">
        <v>246</v>
      </c>
      <c r="I499" s="27">
        <v>43277</v>
      </c>
      <c r="K499" s="27">
        <v>43328</v>
      </c>
      <c r="L499" s="26">
        <v>-458200</v>
      </c>
      <c r="M499" s="25">
        <v>2000069164</v>
      </c>
      <c r="N499" s="25" t="s">
        <v>1239</v>
      </c>
      <c r="O499" s="25" t="s">
        <v>180</v>
      </c>
      <c r="P499" s="26">
        <v>95</v>
      </c>
      <c r="Q499" s="25" t="s">
        <v>189</v>
      </c>
      <c r="R499" s="25" t="s">
        <v>244</v>
      </c>
      <c r="S499" s="25" t="s">
        <v>177</v>
      </c>
      <c r="T499" s="25" t="s">
        <v>176</v>
      </c>
      <c r="U499" s="25" t="s">
        <v>175</v>
      </c>
    </row>
    <row r="500" spans="1:21" x14ac:dyDescent="0.2">
      <c r="A500" s="28"/>
      <c r="B500" s="25" t="s">
        <v>1615</v>
      </c>
      <c r="C500" s="25">
        <v>13617384</v>
      </c>
      <c r="D500" s="25" t="s">
        <v>1614</v>
      </c>
      <c r="E500" s="25" t="s">
        <v>185</v>
      </c>
      <c r="F500" s="25" t="s">
        <v>1613</v>
      </c>
      <c r="G500" s="25" t="s">
        <v>183</v>
      </c>
      <c r="H500" s="25" t="s">
        <v>246</v>
      </c>
      <c r="I500" s="27">
        <v>43277</v>
      </c>
      <c r="K500" s="27">
        <v>43328</v>
      </c>
      <c r="L500" s="26">
        <v>-22700</v>
      </c>
      <c r="M500" s="25">
        <v>2000069164</v>
      </c>
      <c r="N500" s="25" t="s">
        <v>1239</v>
      </c>
      <c r="O500" s="25" t="s">
        <v>180</v>
      </c>
      <c r="P500" s="26">
        <v>95</v>
      </c>
      <c r="Q500" s="25" t="s">
        <v>189</v>
      </c>
      <c r="R500" s="25" t="s">
        <v>244</v>
      </c>
      <c r="S500" s="25" t="s">
        <v>177</v>
      </c>
      <c r="T500" s="25" t="s">
        <v>176</v>
      </c>
      <c r="U500" s="25" t="s">
        <v>175</v>
      </c>
    </row>
    <row r="501" spans="1:21" x14ac:dyDescent="0.2">
      <c r="A501" s="28"/>
      <c r="B501" s="25" t="s">
        <v>1612</v>
      </c>
      <c r="C501" s="25">
        <v>13629535</v>
      </c>
      <c r="D501" s="25" t="s">
        <v>1603</v>
      </c>
      <c r="E501" s="25" t="s">
        <v>185</v>
      </c>
      <c r="F501" s="25" t="s">
        <v>1611</v>
      </c>
      <c r="G501" s="25" t="s">
        <v>183</v>
      </c>
      <c r="H501" s="25" t="s">
        <v>246</v>
      </c>
      <c r="I501" s="27">
        <v>43289</v>
      </c>
      <c r="K501" s="27">
        <v>43328</v>
      </c>
      <c r="L501" s="26">
        <v>-243141</v>
      </c>
      <c r="M501" s="25">
        <v>2000069164</v>
      </c>
      <c r="N501" s="25" t="s">
        <v>1239</v>
      </c>
      <c r="O501" s="25" t="s">
        <v>180</v>
      </c>
      <c r="P501" s="26">
        <v>95</v>
      </c>
      <c r="Q501" s="25" t="s">
        <v>189</v>
      </c>
      <c r="R501" s="25" t="s">
        <v>244</v>
      </c>
      <c r="S501" s="25" t="s">
        <v>177</v>
      </c>
      <c r="T501" s="25" t="s">
        <v>176</v>
      </c>
      <c r="U501" s="25" t="s">
        <v>175</v>
      </c>
    </row>
    <row r="502" spans="1:21" x14ac:dyDescent="0.2">
      <c r="A502" s="28"/>
      <c r="B502" s="25" t="s">
        <v>1610</v>
      </c>
      <c r="C502" s="25">
        <v>13630098</v>
      </c>
      <c r="D502" s="25" t="s">
        <v>1603</v>
      </c>
      <c r="E502" s="25" t="s">
        <v>185</v>
      </c>
      <c r="F502" s="25" t="s">
        <v>1609</v>
      </c>
      <c r="G502" s="25" t="s">
        <v>183</v>
      </c>
      <c r="H502" s="25" t="s">
        <v>246</v>
      </c>
      <c r="I502" s="27">
        <v>43290</v>
      </c>
      <c r="K502" s="27">
        <v>43328</v>
      </c>
      <c r="L502" s="26">
        <v>-45100</v>
      </c>
      <c r="M502" s="25">
        <v>2000069164</v>
      </c>
      <c r="N502" s="25" t="s">
        <v>1239</v>
      </c>
      <c r="O502" s="25" t="s">
        <v>180</v>
      </c>
      <c r="P502" s="26">
        <v>95</v>
      </c>
      <c r="Q502" s="25" t="s">
        <v>189</v>
      </c>
      <c r="R502" s="25" t="s">
        <v>244</v>
      </c>
      <c r="S502" s="25" t="s">
        <v>177</v>
      </c>
      <c r="T502" s="25" t="s">
        <v>176</v>
      </c>
      <c r="U502" s="25" t="s">
        <v>175</v>
      </c>
    </row>
    <row r="503" spans="1:21" x14ac:dyDescent="0.2">
      <c r="A503" s="28"/>
      <c r="B503" s="25" t="s">
        <v>1608</v>
      </c>
      <c r="C503" s="25">
        <v>13635666</v>
      </c>
      <c r="D503" s="25" t="s">
        <v>1603</v>
      </c>
      <c r="E503" s="25" t="s">
        <v>185</v>
      </c>
      <c r="F503" s="25" t="s">
        <v>1607</v>
      </c>
      <c r="G503" s="25" t="s">
        <v>183</v>
      </c>
      <c r="H503" s="25" t="s">
        <v>246</v>
      </c>
      <c r="I503" s="27">
        <v>43294</v>
      </c>
      <c r="K503" s="27">
        <v>43328</v>
      </c>
      <c r="L503" s="26">
        <v>-31300</v>
      </c>
      <c r="M503" s="25">
        <v>2000069164</v>
      </c>
      <c r="N503" s="25" t="s">
        <v>1043</v>
      </c>
      <c r="O503" s="25" t="s">
        <v>180</v>
      </c>
      <c r="P503" s="26">
        <v>95</v>
      </c>
      <c r="Q503" s="25" t="s">
        <v>189</v>
      </c>
      <c r="R503" s="25" t="s">
        <v>244</v>
      </c>
      <c r="S503" s="25" t="s">
        <v>177</v>
      </c>
      <c r="T503" s="25" t="s">
        <v>176</v>
      </c>
      <c r="U503" s="25" t="s">
        <v>175</v>
      </c>
    </row>
    <row r="504" spans="1:21" x14ac:dyDescent="0.2">
      <c r="A504" s="28"/>
      <c r="B504" s="25" t="s">
        <v>1606</v>
      </c>
      <c r="C504" s="25">
        <v>13651770</v>
      </c>
      <c r="D504" s="25" t="s">
        <v>1603</v>
      </c>
      <c r="E504" s="25" t="s">
        <v>185</v>
      </c>
      <c r="F504" s="25" t="s">
        <v>1605</v>
      </c>
      <c r="G504" s="25" t="s">
        <v>183</v>
      </c>
      <c r="H504" s="25" t="s">
        <v>246</v>
      </c>
      <c r="I504" s="27">
        <v>43311</v>
      </c>
      <c r="K504" s="27">
        <v>43328</v>
      </c>
      <c r="L504" s="26">
        <v>-230400</v>
      </c>
      <c r="M504" s="25">
        <v>2000069164</v>
      </c>
      <c r="N504" s="25" t="s">
        <v>1239</v>
      </c>
      <c r="O504" s="25" t="s">
        <v>180</v>
      </c>
      <c r="P504" s="26">
        <v>95</v>
      </c>
      <c r="Q504" s="25" t="s">
        <v>189</v>
      </c>
      <c r="R504" s="25" t="s">
        <v>244</v>
      </c>
      <c r="S504" s="25" t="s">
        <v>177</v>
      </c>
      <c r="T504" s="25" t="s">
        <v>176</v>
      </c>
      <c r="U504" s="25" t="s">
        <v>175</v>
      </c>
    </row>
    <row r="505" spans="1:21" x14ac:dyDescent="0.2">
      <c r="A505" s="28"/>
      <c r="B505" s="25" t="s">
        <v>1604</v>
      </c>
      <c r="C505" s="25">
        <v>13653738</v>
      </c>
      <c r="D505" s="25" t="s">
        <v>1603</v>
      </c>
      <c r="E505" s="25" t="s">
        <v>185</v>
      </c>
      <c r="F505" s="25" t="s">
        <v>1602</v>
      </c>
      <c r="G505" s="25" t="s">
        <v>183</v>
      </c>
      <c r="H505" s="25" t="s">
        <v>246</v>
      </c>
      <c r="I505" s="27">
        <v>43312</v>
      </c>
      <c r="K505" s="27">
        <v>43328</v>
      </c>
      <c r="L505" s="26">
        <v>-140100</v>
      </c>
      <c r="M505" s="25">
        <v>2000069164</v>
      </c>
      <c r="N505" s="25" t="s">
        <v>1239</v>
      </c>
      <c r="O505" s="25" t="s">
        <v>180</v>
      </c>
      <c r="P505" s="26">
        <v>95</v>
      </c>
      <c r="Q505" s="25" t="s">
        <v>189</v>
      </c>
      <c r="R505" s="25" t="s">
        <v>244</v>
      </c>
      <c r="S505" s="25" t="s">
        <v>177</v>
      </c>
      <c r="T505" s="25" t="s">
        <v>176</v>
      </c>
      <c r="U505" s="25" t="s">
        <v>175</v>
      </c>
    </row>
    <row r="506" spans="1:21" x14ac:dyDescent="0.2">
      <c r="A506" s="28"/>
      <c r="B506" s="25" t="s">
        <v>1601</v>
      </c>
      <c r="C506" s="25" t="s">
        <v>1601</v>
      </c>
      <c r="D506" s="25" t="s">
        <v>650</v>
      </c>
      <c r="E506" s="25" t="s">
        <v>185</v>
      </c>
      <c r="F506" s="25" t="s">
        <v>1600</v>
      </c>
      <c r="G506" s="25" t="s">
        <v>276</v>
      </c>
      <c r="H506" s="25" t="s">
        <v>652</v>
      </c>
      <c r="I506" s="27">
        <v>43441</v>
      </c>
      <c r="K506" s="27">
        <v>43441</v>
      </c>
      <c r="L506" s="26">
        <v>5205000</v>
      </c>
      <c r="M506" s="25">
        <v>2000069164</v>
      </c>
      <c r="N506" s="25" t="s">
        <v>1599</v>
      </c>
      <c r="O506" s="25" t="s">
        <v>271</v>
      </c>
      <c r="P506" s="26">
        <v>12</v>
      </c>
      <c r="Q506" s="25" t="s">
        <v>270</v>
      </c>
      <c r="R506" s="25" t="s">
        <v>650</v>
      </c>
      <c r="S506" s="25" t="s">
        <v>177</v>
      </c>
      <c r="T506" s="25" t="s">
        <v>176</v>
      </c>
      <c r="U506" s="25" t="s">
        <v>175</v>
      </c>
    </row>
    <row r="511" spans="1:21" x14ac:dyDescent="0.2">
      <c r="A511" s="28"/>
      <c r="B511" s="25" t="s">
        <v>287</v>
      </c>
      <c r="C511" s="25" t="s">
        <v>287</v>
      </c>
      <c r="D511" s="25" t="s">
        <v>290</v>
      </c>
      <c r="E511" s="25" t="s">
        <v>278</v>
      </c>
      <c r="F511" s="25" t="s">
        <v>286</v>
      </c>
      <c r="G511" s="25" t="s">
        <v>283</v>
      </c>
      <c r="H511" s="25" t="s">
        <v>275</v>
      </c>
      <c r="I511" s="27">
        <v>43124</v>
      </c>
      <c r="J511" s="25" t="s">
        <v>274</v>
      </c>
      <c r="K511" s="27">
        <v>43195</v>
      </c>
      <c r="L511" s="26">
        <v>-2633203</v>
      </c>
      <c r="M511" s="25" t="s">
        <v>286</v>
      </c>
      <c r="N511" s="25" t="s">
        <v>289</v>
      </c>
      <c r="O511" s="25" t="s">
        <v>180</v>
      </c>
      <c r="P511" s="26">
        <v>71</v>
      </c>
      <c r="Q511" s="25" t="s">
        <v>281</v>
      </c>
      <c r="R511" s="25" t="s">
        <v>279</v>
      </c>
      <c r="S511" s="25" t="s">
        <v>177</v>
      </c>
      <c r="T511" s="25" t="s">
        <v>176</v>
      </c>
      <c r="U511" s="25" t="s">
        <v>175</v>
      </c>
    </row>
    <row r="512" spans="1:21" x14ac:dyDescent="0.2">
      <c r="A512" s="28"/>
      <c r="B512" s="25" t="s">
        <v>288</v>
      </c>
      <c r="C512" s="25" t="s">
        <v>288</v>
      </c>
      <c r="D512" s="25" t="s">
        <v>279</v>
      </c>
      <c r="E512" s="25" t="s">
        <v>278</v>
      </c>
      <c r="F512" s="25" t="s">
        <v>287</v>
      </c>
      <c r="G512" s="25" t="s">
        <v>276</v>
      </c>
      <c r="H512" s="25" t="s">
        <v>275</v>
      </c>
      <c r="I512" s="27">
        <v>43124</v>
      </c>
      <c r="J512" s="25" t="s">
        <v>274</v>
      </c>
      <c r="K512" s="27">
        <v>43124</v>
      </c>
      <c r="L512" s="26">
        <v>2633203</v>
      </c>
      <c r="M512" s="25" t="s">
        <v>286</v>
      </c>
      <c r="N512" s="25" t="s">
        <v>285</v>
      </c>
      <c r="O512" s="25" t="s">
        <v>271</v>
      </c>
      <c r="P512" s="26">
        <v>0</v>
      </c>
      <c r="Q512" s="25" t="s">
        <v>270</v>
      </c>
      <c r="R512" s="25" t="s">
        <v>279</v>
      </c>
      <c r="S512" s="25" t="s">
        <v>177</v>
      </c>
      <c r="T512" s="25" t="s">
        <v>176</v>
      </c>
      <c r="U512" s="25" t="s">
        <v>175</v>
      </c>
    </row>
    <row r="513" spans="1:21" x14ac:dyDescent="0.2">
      <c r="A513" s="28"/>
      <c r="B513" s="25" t="s">
        <v>277</v>
      </c>
      <c r="C513" s="25" t="s">
        <v>277</v>
      </c>
      <c r="D513" s="25" t="s">
        <v>284</v>
      </c>
      <c r="E513" s="25" t="s">
        <v>278</v>
      </c>
      <c r="F513" s="25" t="s">
        <v>273</v>
      </c>
      <c r="G513" s="25" t="s">
        <v>283</v>
      </c>
      <c r="H513" s="25" t="s">
        <v>275</v>
      </c>
      <c r="I513" s="27">
        <v>43076</v>
      </c>
      <c r="J513" s="25" t="s">
        <v>274</v>
      </c>
      <c r="K513" s="27">
        <v>43257</v>
      </c>
      <c r="L513" s="26">
        <v>-2633203</v>
      </c>
      <c r="M513" s="25" t="s">
        <v>273</v>
      </c>
      <c r="N513" s="25" t="s">
        <v>282</v>
      </c>
      <c r="O513" s="25" t="s">
        <v>180</v>
      </c>
      <c r="P513" s="26">
        <v>181</v>
      </c>
      <c r="Q513" s="25" t="s">
        <v>281</v>
      </c>
      <c r="R513" s="25" t="s">
        <v>279</v>
      </c>
      <c r="S513" s="25" t="s">
        <v>177</v>
      </c>
      <c r="T513" s="25" t="s">
        <v>176</v>
      </c>
      <c r="U513" s="25" t="s">
        <v>175</v>
      </c>
    </row>
    <row r="514" spans="1:21" x14ac:dyDescent="0.2">
      <c r="A514" s="28"/>
      <c r="B514" s="25" t="s">
        <v>280</v>
      </c>
      <c r="C514" s="25" t="s">
        <v>280</v>
      </c>
      <c r="D514" s="25" t="s">
        <v>279</v>
      </c>
      <c r="E514" s="25" t="s">
        <v>278</v>
      </c>
      <c r="F514" s="25" t="s">
        <v>277</v>
      </c>
      <c r="G514" s="25" t="s">
        <v>276</v>
      </c>
      <c r="H514" s="25" t="s">
        <v>275</v>
      </c>
      <c r="I514" s="27">
        <v>43076</v>
      </c>
      <c r="J514" s="25" t="s">
        <v>274</v>
      </c>
      <c r="K514" s="27">
        <v>43076</v>
      </c>
      <c r="L514" s="26">
        <v>2633203</v>
      </c>
      <c r="M514" s="25" t="s">
        <v>273</v>
      </c>
      <c r="N514" s="25" t="s">
        <v>272</v>
      </c>
      <c r="O514" s="25" t="s">
        <v>271</v>
      </c>
      <c r="P514" s="26">
        <v>0</v>
      </c>
      <c r="Q514" s="25" t="s">
        <v>270</v>
      </c>
      <c r="R514" s="25" t="s">
        <v>269</v>
      </c>
      <c r="S514" s="25" t="s">
        <v>177</v>
      </c>
      <c r="T514" s="25" t="s">
        <v>176</v>
      </c>
      <c r="U514" s="25" t="s">
        <v>175</v>
      </c>
    </row>
    <row r="518" spans="1:21" x14ac:dyDescent="0.2">
      <c r="A518" s="29" t="s">
        <v>216</v>
      </c>
      <c r="B518" s="29" t="s">
        <v>215</v>
      </c>
      <c r="C518" s="29" t="s">
        <v>215</v>
      </c>
      <c r="D518" s="29" t="s">
        <v>214</v>
      </c>
      <c r="E518" s="29" t="s">
        <v>213</v>
      </c>
      <c r="F518" s="29" t="s">
        <v>212</v>
      </c>
      <c r="G518" s="29" t="s">
        <v>211</v>
      </c>
      <c r="H518" s="29" t="s">
        <v>210</v>
      </c>
      <c r="I518" s="29" t="s">
        <v>209</v>
      </c>
      <c r="J518" s="29" t="s">
        <v>208</v>
      </c>
      <c r="K518" s="29" t="s">
        <v>207</v>
      </c>
      <c r="L518" s="29" t="s">
        <v>206</v>
      </c>
      <c r="M518" s="29" t="s">
        <v>205</v>
      </c>
      <c r="N518" s="29" t="s">
        <v>204</v>
      </c>
      <c r="O518" s="29" t="s">
        <v>203</v>
      </c>
      <c r="P518" s="29" t="s">
        <v>202</v>
      </c>
      <c r="Q518" s="29" t="s">
        <v>201</v>
      </c>
      <c r="R518" s="29" t="s">
        <v>200</v>
      </c>
      <c r="S518" s="29" t="s">
        <v>199</v>
      </c>
      <c r="T518" s="29" t="s">
        <v>198</v>
      </c>
      <c r="U518" s="29" t="s">
        <v>197</v>
      </c>
    </row>
    <row r="519" spans="1:21" x14ac:dyDescent="0.2">
      <c r="A519" s="28"/>
      <c r="B519" s="25" t="s">
        <v>1192</v>
      </c>
      <c r="C519" s="25">
        <v>13525049</v>
      </c>
      <c r="D519" s="25" t="s">
        <v>1720</v>
      </c>
      <c r="E519" s="25" t="s">
        <v>221</v>
      </c>
      <c r="F519" s="25" t="s">
        <v>1190</v>
      </c>
      <c r="G519" s="25" t="s">
        <v>553</v>
      </c>
      <c r="H519" s="25" t="s">
        <v>1189</v>
      </c>
      <c r="I519" s="27">
        <v>43405</v>
      </c>
      <c r="K519" s="27">
        <v>43465</v>
      </c>
      <c r="L519" s="26">
        <v>11000</v>
      </c>
      <c r="M519" s="25" t="s">
        <v>1190</v>
      </c>
      <c r="N519" s="25" t="s">
        <v>1713</v>
      </c>
      <c r="O519" s="25" t="s">
        <v>271</v>
      </c>
      <c r="P519" s="26">
        <v>60</v>
      </c>
      <c r="Q519" s="25" t="s">
        <v>179</v>
      </c>
      <c r="R519" s="25" t="s">
        <v>1177</v>
      </c>
      <c r="S519" s="25" t="s">
        <v>177</v>
      </c>
      <c r="T519" s="25" t="s">
        <v>176</v>
      </c>
      <c r="U519" s="25" t="s">
        <v>175</v>
      </c>
    </row>
    <row r="520" spans="1:21" x14ac:dyDescent="0.2">
      <c r="A520" s="28"/>
      <c r="B520" s="25" t="s">
        <v>1192</v>
      </c>
      <c r="C520" s="25">
        <v>13525049</v>
      </c>
      <c r="D520" s="25" t="s">
        <v>1195</v>
      </c>
      <c r="E520" s="25" t="s">
        <v>221</v>
      </c>
      <c r="F520" s="25" t="s">
        <v>1194</v>
      </c>
      <c r="G520" s="25" t="s">
        <v>183</v>
      </c>
      <c r="H520" s="25" t="s">
        <v>1189</v>
      </c>
      <c r="I520" s="27">
        <v>43182</v>
      </c>
      <c r="K520" s="27">
        <v>43328</v>
      </c>
      <c r="L520" s="26">
        <v>-11000</v>
      </c>
      <c r="M520" s="25" t="s">
        <v>1190</v>
      </c>
      <c r="N520" s="25" t="s">
        <v>1722</v>
      </c>
      <c r="O520" s="25" t="s">
        <v>180</v>
      </c>
      <c r="P520" s="26">
        <v>98</v>
      </c>
      <c r="Q520" s="25" t="s">
        <v>189</v>
      </c>
      <c r="R520" s="25" t="s">
        <v>572</v>
      </c>
      <c r="S520" s="25" t="s">
        <v>177</v>
      </c>
      <c r="T520" s="25" t="s">
        <v>176</v>
      </c>
      <c r="U520" s="25" t="s">
        <v>175</v>
      </c>
    </row>
    <row r="521" spans="1:21" x14ac:dyDescent="0.2">
      <c r="A521" s="28"/>
      <c r="B521" s="25" t="s">
        <v>1182</v>
      </c>
      <c r="C521" s="25">
        <v>13510512</v>
      </c>
      <c r="D521" s="25" t="s">
        <v>1720</v>
      </c>
      <c r="E521" s="25" t="s">
        <v>221</v>
      </c>
      <c r="F521" s="25" t="s">
        <v>1180</v>
      </c>
      <c r="G521" s="25" t="s">
        <v>553</v>
      </c>
      <c r="H521" s="25" t="s">
        <v>1179</v>
      </c>
      <c r="I521" s="27">
        <v>43405</v>
      </c>
      <c r="K521" s="27">
        <v>43465</v>
      </c>
      <c r="L521" s="26">
        <v>94425</v>
      </c>
      <c r="M521" s="25" t="s">
        <v>1180</v>
      </c>
      <c r="N521" s="25" t="s">
        <v>1718</v>
      </c>
      <c r="O521" s="25" t="s">
        <v>271</v>
      </c>
      <c r="P521" s="26">
        <v>60</v>
      </c>
      <c r="Q521" s="25" t="s">
        <v>179</v>
      </c>
      <c r="R521" s="25" t="s">
        <v>1177</v>
      </c>
      <c r="S521" s="25" t="s">
        <v>177</v>
      </c>
      <c r="T521" s="25" t="s">
        <v>176</v>
      </c>
      <c r="U521" s="25" t="s">
        <v>175</v>
      </c>
    </row>
    <row r="522" spans="1:21" x14ac:dyDescent="0.2">
      <c r="A522" s="28"/>
      <c r="B522" s="25" t="s">
        <v>1182</v>
      </c>
      <c r="C522" s="25">
        <v>13510512</v>
      </c>
      <c r="D522" s="25" t="s">
        <v>1474</v>
      </c>
      <c r="E522" s="25" t="s">
        <v>221</v>
      </c>
      <c r="F522" s="25" t="s">
        <v>1473</v>
      </c>
      <c r="G522" s="25" t="s">
        <v>183</v>
      </c>
      <c r="H522" s="25" t="s">
        <v>1179</v>
      </c>
      <c r="I522" s="27">
        <v>43167</v>
      </c>
      <c r="K522" s="27">
        <v>43328</v>
      </c>
      <c r="L522" s="26">
        <v>-94425</v>
      </c>
      <c r="M522" s="25" t="s">
        <v>1180</v>
      </c>
      <c r="N522" s="25" t="s">
        <v>1721</v>
      </c>
      <c r="O522" s="25" t="s">
        <v>180</v>
      </c>
      <c r="P522" s="26">
        <v>93</v>
      </c>
      <c r="Q522" s="25" t="s">
        <v>189</v>
      </c>
      <c r="R522" s="25" t="s">
        <v>188</v>
      </c>
      <c r="S522" s="25" t="s">
        <v>177</v>
      </c>
      <c r="T522" s="25" t="s">
        <v>176</v>
      </c>
      <c r="U522" s="25" t="s">
        <v>175</v>
      </c>
    </row>
    <row r="523" spans="1:21" x14ac:dyDescent="0.2">
      <c r="A523" s="28"/>
      <c r="B523" s="25" t="s">
        <v>1187</v>
      </c>
      <c r="C523" s="25">
        <v>13623893</v>
      </c>
      <c r="D523" s="25" t="s">
        <v>1720</v>
      </c>
      <c r="E523" s="25" t="s">
        <v>221</v>
      </c>
      <c r="F523" s="25" t="s">
        <v>1185</v>
      </c>
      <c r="G523" s="25" t="s">
        <v>553</v>
      </c>
      <c r="H523" s="25" t="s">
        <v>1184</v>
      </c>
      <c r="I523" s="27">
        <v>43405</v>
      </c>
      <c r="K523" s="27">
        <v>43465</v>
      </c>
      <c r="L523" s="26">
        <v>3571</v>
      </c>
      <c r="M523" s="25" t="s">
        <v>1185</v>
      </c>
      <c r="N523" s="25" t="s">
        <v>1713</v>
      </c>
      <c r="O523" s="25" t="s">
        <v>271</v>
      </c>
      <c r="P523" s="26">
        <v>60</v>
      </c>
      <c r="Q523" s="25" t="s">
        <v>179</v>
      </c>
      <c r="R523" s="25" t="s">
        <v>1177</v>
      </c>
      <c r="S523" s="25" t="s">
        <v>177</v>
      </c>
      <c r="T523" s="25" t="s">
        <v>176</v>
      </c>
      <c r="U523" s="25" t="s">
        <v>175</v>
      </c>
    </row>
    <row r="524" spans="1:21" x14ac:dyDescent="0.2">
      <c r="A524" s="28"/>
      <c r="B524" s="25" t="s">
        <v>1187</v>
      </c>
      <c r="C524" s="25">
        <v>13623893</v>
      </c>
      <c r="D524" s="25" t="s">
        <v>1368</v>
      </c>
      <c r="E524" s="25" t="s">
        <v>221</v>
      </c>
      <c r="F524" s="25" t="s">
        <v>1377</v>
      </c>
      <c r="G524" s="25" t="s">
        <v>183</v>
      </c>
      <c r="H524" s="25" t="s">
        <v>1184</v>
      </c>
      <c r="I524" s="27">
        <v>43283</v>
      </c>
      <c r="K524" s="27">
        <v>43359</v>
      </c>
      <c r="L524" s="26">
        <v>-3571</v>
      </c>
      <c r="M524" s="25" t="s">
        <v>1185</v>
      </c>
      <c r="N524" s="25" t="s">
        <v>1719</v>
      </c>
      <c r="O524" s="25" t="s">
        <v>180</v>
      </c>
      <c r="P524" s="26">
        <v>92</v>
      </c>
      <c r="Q524" s="25" t="s">
        <v>189</v>
      </c>
      <c r="R524" s="25" t="s">
        <v>228</v>
      </c>
      <c r="S524" s="25" t="s">
        <v>177</v>
      </c>
      <c r="T524" s="25" t="s">
        <v>176</v>
      </c>
      <c r="U524" s="25" t="s">
        <v>175</v>
      </c>
    </row>
    <row r="525" spans="1:21" x14ac:dyDescent="0.2">
      <c r="A525" s="28"/>
      <c r="B525" s="25" t="s">
        <v>1007</v>
      </c>
      <c r="C525" s="25">
        <v>13678503</v>
      </c>
      <c r="D525" s="25" t="s">
        <v>1006</v>
      </c>
      <c r="E525" s="25" t="s">
        <v>185</v>
      </c>
      <c r="F525" s="25" t="s">
        <v>1288</v>
      </c>
      <c r="G525" s="25" t="s">
        <v>183</v>
      </c>
      <c r="H525" s="25" t="s">
        <v>530</v>
      </c>
      <c r="I525" s="27">
        <v>43546</v>
      </c>
      <c r="K525" s="27">
        <v>43546</v>
      </c>
      <c r="L525" s="26">
        <v>-169405</v>
      </c>
      <c r="M525" s="25" t="s">
        <v>1005</v>
      </c>
      <c r="N525" s="25" t="s">
        <v>1004</v>
      </c>
      <c r="O525" s="25" t="s">
        <v>180</v>
      </c>
      <c r="P525" s="26">
        <v>215</v>
      </c>
      <c r="Q525" s="25" t="s">
        <v>535</v>
      </c>
      <c r="R525" s="25" t="s">
        <v>1003</v>
      </c>
      <c r="S525" s="25" t="s">
        <v>177</v>
      </c>
      <c r="T525" s="25" t="s">
        <v>176</v>
      </c>
      <c r="U525" s="25" t="s">
        <v>175</v>
      </c>
    </row>
    <row r="526" spans="1:21" x14ac:dyDescent="0.2">
      <c r="A526" s="28"/>
      <c r="B526" s="25" t="s">
        <v>1007</v>
      </c>
      <c r="C526" s="25">
        <v>13678503</v>
      </c>
      <c r="D526" s="25" t="s">
        <v>981</v>
      </c>
      <c r="E526" s="25" t="s">
        <v>185</v>
      </c>
      <c r="F526" s="25" t="s">
        <v>1005</v>
      </c>
      <c r="G526" s="25" t="s">
        <v>553</v>
      </c>
      <c r="H526" s="25" t="s">
        <v>530</v>
      </c>
      <c r="I526" s="27">
        <v>43593</v>
      </c>
      <c r="K526" s="27">
        <v>43623</v>
      </c>
      <c r="L526" s="26">
        <v>169405</v>
      </c>
      <c r="M526" s="25" t="s">
        <v>1005</v>
      </c>
      <c r="N526" s="25" t="s">
        <v>1023</v>
      </c>
      <c r="O526" s="25" t="s">
        <v>271</v>
      </c>
      <c r="P526" s="26">
        <v>30</v>
      </c>
      <c r="Q526" s="25" t="s">
        <v>557</v>
      </c>
      <c r="R526" s="25" t="s">
        <v>1003</v>
      </c>
      <c r="S526" s="25" t="s">
        <v>177</v>
      </c>
      <c r="T526" s="25" t="s">
        <v>176</v>
      </c>
      <c r="U526" s="25" t="s">
        <v>175</v>
      </c>
    </row>
    <row r="527" spans="1:21" x14ac:dyDescent="0.2">
      <c r="A527" s="28"/>
      <c r="B527" s="25" t="s">
        <v>562</v>
      </c>
      <c r="C527" s="25">
        <v>13802351</v>
      </c>
      <c r="D527" s="25" t="s">
        <v>1710</v>
      </c>
      <c r="E527" s="25" t="s">
        <v>221</v>
      </c>
      <c r="F527" s="25" t="s">
        <v>560</v>
      </c>
      <c r="G527" s="25" t="s">
        <v>553</v>
      </c>
      <c r="H527" s="25" t="s">
        <v>559</v>
      </c>
      <c r="I527" s="27">
        <v>43629</v>
      </c>
      <c r="K527" s="27">
        <v>43643</v>
      </c>
      <c r="L527" s="26">
        <v>2046347</v>
      </c>
      <c r="M527" s="25" t="s">
        <v>560</v>
      </c>
      <c r="N527" s="25" t="s">
        <v>1718</v>
      </c>
      <c r="O527" s="25" t="s">
        <v>271</v>
      </c>
      <c r="P527" s="26">
        <v>14</v>
      </c>
      <c r="Q527" s="25" t="s">
        <v>557</v>
      </c>
      <c r="R527" s="25" t="s">
        <v>556</v>
      </c>
      <c r="S527" s="25" t="s">
        <v>177</v>
      </c>
      <c r="T527" s="25" t="s">
        <v>176</v>
      </c>
      <c r="U527" s="25" t="s">
        <v>175</v>
      </c>
    </row>
    <row r="528" spans="1:21" x14ac:dyDescent="0.2">
      <c r="A528" s="28"/>
      <c r="B528" s="25" t="s">
        <v>562</v>
      </c>
      <c r="C528" s="25">
        <v>13802351</v>
      </c>
      <c r="D528" s="25" t="s">
        <v>1241</v>
      </c>
      <c r="E528" s="25" t="s">
        <v>221</v>
      </c>
      <c r="F528" s="25" t="s">
        <v>1330</v>
      </c>
      <c r="G528" s="25" t="s">
        <v>183</v>
      </c>
      <c r="H528" s="25" t="s">
        <v>559</v>
      </c>
      <c r="I528" s="27">
        <v>43495</v>
      </c>
      <c r="K528" s="27">
        <v>43502</v>
      </c>
      <c r="L528" s="26">
        <v>-2046347</v>
      </c>
      <c r="M528" s="25" t="s">
        <v>560</v>
      </c>
      <c r="N528" s="25" t="s">
        <v>1717</v>
      </c>
      <c r="O528" s="25" t="s">
        <v>180</v>
      </c>
      <c r="P528" s="26">
        <v>96</v>
      </c>
      <c r="Q528" s="25" t="s">
        <v>961</v>
      </c>
      <c r="R528" s="25" t="s">
        <v>244</v>
      </c>
      <c r="S528" s="25" t="s">
        <v>177</v>
      </c>
      <c r="T528" s="25" t="s">
        <v>176</v>
      </c>
      <c r="U528" s="25" t="s">
        <v>175</v>
      </c>
    </row>
    <row r="529" spans="1:21" x14ac:dyDescent="0.2">
      <c r="A529" s="28"/>
      <c r="B529" s="25" t="s">
        <v>748</v>
      </c>
      <c r="C529" s="25">
        <v>13686602</v>
      </c>
      <c r="D529" s="25" t="s">
        <v>1418</v>
      </c>
      <c r="E529" s="25" t="s">
        <v>221</v>
      </c>
      <c r="F529" s="25" t="s">
        <v>1417</v>
      </c>
      <c r="G529" s="25" t="s">
        <v>183</v>
      </c>
      <c r="H529" s="25" t="s">
        <v>230</v>
      </c>
      <c r="I529" s="27">
        <v>43343</v>
      </c>
      <c r="K529" s="27">
        <v>43435</v>
      </c>
      <c r="L529" s="26">
        <v>-175882</v>
      </c>
      <c r="M529" s="25" t="s">
        <v>746</v>
      </c>
      <c r="N529" s="25" t="s">
        <v>1716</v>
      </c>
      <c r="O529" s="25" t="s">
        <v>180</v>
      </c>
      <c r="P529" s="26">
        <v>179</v>
      </c>
      <c r="Q529" s="25" t="s">
        <v>189</v>
      </c>
      <c r="R529" s="25" t="s">
        <v>228</v>
      </c>
      <c r="S529" s="25" t="s">
        <v>177</v>
      </c>
      <c r="T529" s="25" t="s">
        <v>176</v>
      </c>
      <c r="U529" s="25" t="s">
        <v>175</v>
      </c>
    </row>
    <row r="530" spans="1:21" x14ac:dyDescent="0.2">
      <c r="A530" s="28"/>
      <c r="B530" s="25" t="s">
        <v>748</v>
      </c>
      <c r="C530" s="25">
        <v>13686602</v>
      </c>
      <c r="D530" s="25" t="s">
        <v>1710</v>
      </c>
      <c r="E530" s="25" t="s">
        <v>221</v>
      </c>
      <c r="F530" s="25" t="s">
        <v>746</v>
      </c>
      <c r="G530" s="25" t="s">
        <v>553</v>
      </c>
      <c r="H530" s="25" t="s">
        <v>230</v>
      </c>
      <c r="I530" s="27">
        <v>43629</v>
      </c>
      <c r="K530" s="27">
        <v>43643</v>
      </c>
      <c r="L530" s="26">
        <v>175882</v>
      </c>
      <c r="M530" s="25" t="s">
        <v>746</v>
      </c>
      <c r="N530" s="25" t="s">
        <v>1713</v>
      </c>
      <c r="O530" s="25" t="s">
        <v>271</v>
      </c>
      <c r="P530" s="26">
        <v>14</v>
      </c>
      <c r="Q530" s="25" t="s">
        <v>557</v>
      </c>
      <c r="R530" s="25" t="s">
        <v>556</v>
      </c>
      <c r="S530" s="25" t="s">
        <v>177</v>
      </c>
      <c r="T530" s="25" t="s">
        <v>176</v>
      </c>
      <c r="U530" s="25" t="s">
        <v>175</v>
      </c>
    </row>
    <row r="531" spans="1:21" x14ac:dyDescent="0.2">
      <c r="A531" s="28"/>
      <c r="B531" s="25" t="s">
        <v>1242</v>
      </c>
      <c r="C531" s="25">
        <v>13801172</v>
      </c>
      <c r="D531" s="25" t="s">
        <v>1710</v>
      </c>
      <c r="E531" s="25" t="s">
        <v>221</v>
      </c>
      <c r="F531" s="25" t="s">
        <v>1715</v>
      </c>
      <c r="G531" s="25" t="s">
        <v>553</v>
      </c>
      <c r="H531" s="25" t="s">
        <v>246</v>
      </c>
      <c r="I531" s="27">
        <v>43629</v>
      </c>
      <c r="K531" s="27">
        <v>43643</v>
      </c>
      <c r="L531" s="26">
        <v>152800</v>
      </c>
      <c r="M531" s="25" t="s">
        <v>1715</v>
      </c>
      <c r="N531" s="25" t="s">
        <v>1708</v>
      </c>
      <c r="O531" s="25" t="s">
        <v>271</v>
      </c>
      <c r="P531" s="26">
        <v>14</v>
      </c>
      <c r="Q531" s="25" t="s">
        <v>557</v>
      </c>
      <c r="R531" s="25" t="s">
        <v>556</v>
      </c>
      <c r="S531" s="25" t="s">
        <v>177</v>
      </c>
      <c r="T531" s="25" t="s">
        <v>176</v>
      </c>
      <c r="U531" s="25" t="s">
        <v>175</v>
      </c>
    </row>
    <row r="532" spans="1:21" x14ac:dyDescent="0.2">
      <c r="A532" s="28"/>
      <c r="B532" s="25" t="s">
        <v>1242</v>
      </c>
      <c r="C532" s="25">
        <v>13801172</v>
      </c>
      <c r="D532" s="25" t="s">
        <v>1241</v>
      </c>
      <c r="E532" s="25" t="s">
        <v>221</v>
      </c>
      <c r="F532" s="25" t="s">
        <v>1240</v>
      </c>
      <c r="G532" s="25" t="s">
        <v>183</v>
      </c>
      <c r="H532" s="25" t="s">
        <v>246</v>
      </c>
      <c r="I532" s="27">
        <v>43468</v>
      </c>
      <c r="K532" s="27">
        <v>43502</v>
      </c>
      <c r="L532" s="26">
        <v>-152800</v>
      </c>
      <c r="M532" s="25" t="s">
        <v>1715</v>
      </c>
      <c r="N532" s="25" t="s">
        <v>1714</v>
      </c>
      <c r="O532" s="25" t="s">
        <v>180</v>
      </c>
      <c r="P532" s="26">
        <v>96</v>
      </c>
      <c r="Q532" s="25" t="s">
        <v>179</v>
      </c>
      <c r="R532" s="25" t="s">
        <v>244</v>
      </c>
      <c r="S532" s="25" t="s">
        <v>177</v>
      </c>
      <c r="T532" s="25" t="s">
        <v>176</v>
      </c>
      <c r="U532" s="25" t="s">
        <v>175</v>
      </c>
    </row>
    <row r="533" spans="1:21" x14ac:dyDescent="0.2">
      <c r="A533" s="28"/>
      <c r="B533" s="25" t="s">
        <v>566</v>
      </c>
      <c r="C533" s="25">
        <v>13791092</v>
      </c>
      <c r="D533" s="25" t="s">
        <v>1710</v>
      </c>
      <c r="E533" s="25" t="s">
        <v>221</v>
      </c>
      <c r="F533" s="25" t="s">
        <v>564</v>
      </c>
      <c r="G533" s="25" t="s">
        <v>553</v>
      </c>
      <c r="H533" s="25" t="s">
        <v>559</v>
      </c>
      <c r="I533" s="27">
        <v>43629</v>
      </c>
      <c r="K533" s="27">
        <v>43643</v>
      </c>
      <c r="L533" s="26">
        <v>78800</v>
      </c>
      <c r="M533" s="25" t="s">
        <v>564</v>
      </c>
      <c r="N533" s="25" t="s">
        <v>1713</v>
      </c>
      <c r="O533" s="25" t="s">
        <v>271</v>
      </c>
      <c r="P533" s="26">
        <v>14</v>
      </c>
      <c r="Q533" s="25" t="s">
        <v>557</v>
      </c>
      <c r="R533" s="25" t="s">
        <v>556</v>
      </c>
      <c r="S533" s="25" t="s">
        <v>177</v>
      </c>
      <c r="T533" s="25" t="s">
        <v>176</v>
      </c>
      <c r="U533" s="25" t="s">
        <v>175</v>
      </c>
    </row>
    <row r="534" spans="1:21" x14ac:dyDescent="0.2">
      <c r="A534" s="28"/>
      <c r="B534" s="25" t="s">
        <v>566</v>
      </c>
      <c r="C534" s="25">
        <v>13791092</v>
      </c>
      <c r="D534" s="25" t="s">
        <v>1241</v>
      </c>
      <c r="E534" s="25" t="s">
        <v>221</v>
      </c>
      <c r="F534" s="25" t="s">
        <v>1244</v>
      </c>
      <c r="G534" s="25" t="s">
        <v>183</v>
      </c>
      <c r="H534" s="25" t="s">
        <v>559</v>
      </c>
      <c r="I534" s="27">
        <v>43468</v>
      </c>
      <c r="K534" s="27">
        <v>43502</v>
      </c>
      <c r="L534" s="26">
        <v>-78800</v>
      </c>
      <c r="M534" s="25" t="s">
        <v>564</v>
      </c>
      <c r="N534" s="25" t="s">
        <v>1712</v>
      </c>
      <c r="O534" s="25" t="s">
        <v>180</v>
      </c>
      <c r="P534" s="26">
        <v>96</v>
      </c>
      <c r="Q534" s="25" t="s">
        <v>179</v>
      </c>
      <c r="R534" s="25" t="s">
        <v>244</v>
      </c>
      <c r="S534" s="25" t="s">
        <v>177</v>
      </c>
      <c r="T534" s="25" t="s">
        <v>176</v>
      </c>
      <c r="U534" s="25" t="s">
        <v>175</v>
      </c>
    </row>
    <row r="535" spans="1:21" x14ac:dyDescent="0.2">
      <c r="A535" s="28"/>
      <c r="B535" s="25" t="s">
        <v>1431</v>
      </c>
      <c r="C535" s="25">
        <v>13643274</v>
      </c>
      <c r="D535" s="25" t="s">
        <v>1430</v>
      </c>
      <c r="E535" s="25" t="s">
        <v>221</v>
      </c>
      <c r="F535" s="25" t="s">
        <v>1429</v>
      </c>
      <c r="G535" s="25" t="s">
        <v>183</v>
      </c>
      <c r="H535" s="25" t="s">
        <v>246</v>
      </c>
      <c r="I535" s="27">
        <v>43302</v>
      </c>
      <c r="K535" s="27">
        <v>43437</v>
      </c>
      <c r="L535" s="26">
        <v>-11625</v>
      </c>
      <c r="M535" s="25" t="s">
        <v>1709</v>
      </c>
      <c r="N535" s="25" t="s">
        <v>1711</v>
      </c>
      <c r="O535" s="25" t="s">
        <v>180</v>
      </c>
      <c r="P535" s="26">
        <v>186</v>
      </c>
      <c r="Q535" s="25" t="s">
        <v>189</v>
      </c>
      <c r="R535" s="25" t="s">
        <v>244</v>
      </c>
      <c r="S535" s="25" t="s">
        <v>177</v>
      </c>
      <c r="T535" s="25" t="s">
        <v>176</v>
      </c>
      <c r="U535" s="25" t="s">
        <v>175</v>
      </c>
    </row>
    <row r="536" spans="1:21" x14ac:dyDescent="0.2">
      <c r="A536" s="28"/>
      <c r="B536" s="25" t="s">
        <v>1431</v>
      </c>
      <c r="C536" s="25">
        <v>13643274</v>
      </c>
      <c r="D536" s="25" t="s">
        <v>1710</v>
      </c>
      <c r="E536" s="25" t="s">
        <v>221</v>
      </c>
      <c r="F536" s="25" t="s">
        <v>1709</v>
      </c>
      <c r="G536" s="25" t="s">
        <v>553</v>
      </c>
      <c r="H536" s="25" t="s">
        <v>246</v>
      </c>
      <c r="I536" s="27">
        <v>43629</v>
      </c>
      <c r="K536" s="27">
        <v>43643</v>
      </c>
      <c r="L536" s="26">
        <v>11625</v>
      </c>
      <c r="M536" s="25" t="s">
        <v>1709</v>
      </c>
      <c r="N536" s="25" t="s">
        <v>1708</v>
      </c>
      <c r="O536" s="25" t="s">
        <v>271</v>
      </c>
      <c r="P536" s="26">
        <v>14</v>
      </c>
      <c r="Q536" s="25" t="s">
        <v>557</v>
      </c>
      <c r="R536" s="25" t="s">
        <v>556</v>
      </c>
      <c r="S536" s="25" t="s">
        <v>177</v>
      </c>
      <c r="T536" s="25" t="s">
        <v>176</v>
      </c>
      <c r="U536" s="25" t="s">
        <v>175</v>
      </c>
    </row>
    <row r="537" spans="1:21" x14ac:dyDescent="0.2">
      <c r="A537" s="28"/>
      <c r="B537" s="25" t="s">
        <v>627</v>
      </c>
      <c r="C537" s="25">
        <v>14010076</v>
      </c>
      <c r="D537" s="25" t="s">
        <v>740</v>
      </c>
      <c r="E537" s="25" t="s">
        <v>185</v>
      </c>
      <c r="F537" s="25" t="s">
        <v>626</v>
      </c>
      <c r="G537" s="25" t="s">
        <v>553</v>
      </c>
      <c r="H537" s="25" t="s">
        <v>258</v>
      </c>
      <c r="I537" s="27">
        <v>43661</v>
      </c>
      <c r="K537" s="27">
        <v>43830</v>
      </c>
      <c r="L537" s="26">
        <v>402981</v>
      </c>
      <c r="M537" s="25" t="s">
        <v>626</v>
      </c>
      <c r="N537" s="25" t="s">
        <v>768</v>
      </c>
      <c r="O537" s="25" t="s">
        <v>271</v>
      </c>
      <c r="P537" s="26">
        <v>169</v>
      </c>
      <c r="Q537" s="25" t="s">
        <v>179</v>
      </c>
      <c r="R537" s="25" t="s">
        <v>217</v>
      </c>
      <c r="S537" s="25" t="s">
        <v>177</v>
      </c>
      <c r="T537" s="25" t="s">
        <v>176</v>
      </c>
      <c r="U537" s="25" t="s">
        <v>175</v>
      </c>
    </row>
    <row r="538" spans="1:21" x14ac:dyDescent="0.2">
      <c r="A538" s="28"/>
      <c r="B538" s="25" t="s">
        <v>1707</v>
      </c>
      <c r="C538" s="25">
        <v>14010076</v>
      </c>
      <c r="D538" s="25" t="s">
        <v>222</v>
      </c>
      <c r="E538" s="25" t="s">
        <v>185</v>
      </c>
      <c r="F538" s="25" t="s">
        <v>1706</v>
      </c>
      <c r="G538" s="25" t="s">
        <v>183</v>
      </c>
      <c r="H538" s="25" t="s">
        <v>258</v>
      </c>
      <c r="I538" s="27">
        <v>43661</v>
      </c>
      <c r="K538" s="27">
        <v>43713</v>
      </c>
      <c r="L538" s="26">
        <v>-402981</v>
      </c>
      <c r="M538" s="25" t="s">
        <v>626</v>
      </c>
      <c r="N538" s="25" t="s">
        <v>863</v>
      </c>
      <c r="O538" s="25" t="s">
        <v>180</v>
      </c>
      <c r="P538" s="26">
        <v>118</v>
      </c>
      <c r="Q538" s="25" t="s">
        <v>189</v>
      </c>
      <c r="R538" s="25" t="s">
        <v>217</v>
      </c>
      <c r="S538" s="25" t="s">
        <v>177</v>
      </c>
      <c r="T538" s="25" t="s">
        <v>176</v>
      </c>
      <c r="U538" s="25" t="s">
        <v>175</v>
      </c>
    </row>
    <row r="539" spans="1:21" x14ac:dyDescent="0.2">
      <c r="A539" s="28"/>
      <c r="B539" s="25" t="s">
        <v>624</v>
      </c>
      <c r="C539" s="25">
        <v>14017815</v>
      </c>
      <c r="D539" s="25" t="s">
        <v>660</v>
      </c>
      <c r="E539" s="25" t="s">
        <v>185</v>
      </c>
      <c r="F539" s="25" t="s">
        <v>623</v>
      </c>
      <c r="G539" s="25" t="s">
        <v>553</v>
      </c>
      <c r="H539" s="25" t="s">
        <v>219</v>
      </c>
      <c r="I539" s="27">
        <v>43669</v>
      </c>
      <c r="K539" s="27">
        <v>43924</v>
      </c>
      <c r="L539" s="26">
        <v>596800</v>
      </c>
      <c r="M539" s="25" t="s">
        <v>623</v>
      </c>
      <c r="N539" s="25" t="s">
        <v>1705</v>
      </c>
      <c r="O539" s="25" t="s">
        <v>271</v>
      </c>
      <c r="P539" s="26">
        <v>255</v>
      </c>
      <c r="Q539" s="25" t="s">
        <v>557</v>
      </c>
      <c r="R539" s="25" t="s">
        <v>621</v>
      </c>
      <c r="S539" s="25" t="s">
        <v>177</v>
      </c>
      <c r="T539" s="25" t="s">
        <v>176</v>
      </c>
      <c r="U539" s="25" t="s">
        <v>175</v>
      </c>
    </row>
    <row r="540" spans="1:21" x14ac:dyDescent="0.2">
      <c r="A540" s="28"/>
      <c r="B540" s="25" t="s">
        <v>223</v>
      </c>
      <c r="C540" s="25">
        <v>14017815</v>
      </c>
      <c r="D540" s="25" t="s">
        <v>222</v>
      </c>
      <c r="E540" s="25" t="s">
        <v>185</v>
      </c>
      <c r="F540" s="25" t="s">
        <v>220</v>
      </c>
      <c r="G540" s="25" t="s">
        <v>183</v>
      </c>
      <c r="H540" s="25" t="s">
        <v>219</v>
      </c>
      <c r="I540" s="27">
        <v>43669</v>
      </c>
      <c r="K540" s="27">
        <v>43713</v>
      </c>
      <c r="L540" s="26">
        <v>-596800</v>
      </c>
      <c r="M540" s="25" t="s">
        <v>623</v>
      </c>
      <c r="N540" s="25" t="s">
        <v>855</v>
      </c>
      <c r="O540" s="25" t="s">
        <v>180</v>
      </c>
      <c r="P540" s="26">
        <v>212</v>
      </c>
      <c r="Q540" s="25" t="s">
        <v>189</v>
      </c>
      <c r="R540" s="25" t="s">
        <v>217</v>
      </c>
      <c r="S540" s="25" t="s">
        <v>177</v>
      </c>
      <c r="T540" s="25" t="s">
        <v>176</v>
      </c>
      <c r="U540" s="25" t="s">
        <v>175</v>
      </c>
    </row>
    <row r="541" spans="1:21" x14ac:dyDescent="0.2">
      <c r="A541" s="28"/>
      <c r="B541" s="25" t="s">
        <v>604</v>
      </c>
      <c r="C541" s="25">
        <v>13987467</v>
      </c>
      <c r="D541" s="25" t="s">
        <v>660</v>
      </c>
      <c r="E541" s="25" t="s">
        <v>185</v>
      </c>
      <c r="F541" s="25" t="s">
        <v>602</v>
      </c>
      <c r="G541" s="25" t="s">
        <v>553</v>
      </c>
      <c r="H541" s="25" t="s">
        <v>246</v>
      </c>
      <c r="I541" s="27">
        <v>43640</v>
      </c>
      <c r="K541" s="27">
        <v>43924</v>
      </c>
      <c r="L541" s="26">
        <v>136303</v>
      </c>
      <c r="M541" s="25" t="s">
        <v>602</v>
      </c>
      <c r="N541" s="25" t="s">
        <v>1704</v>
      </c>
      <c r="O541" s="25" t="s">
        <v>271</v>
      </c>
      <c r="P541" s="26">
        <v>284</v>
      </c>
      <c r="Q541" s="25" t="s">
        <v>557</v>
      </c>
      <c r="R541" s="25" t="s">
        <v>600</v>
      </c>
      <c r="S541" s="25" t="s">
        <v>177</v>
      </c>
      <c r="T541" s="25" t="s">
        <v>176</v>
      </c>
      <c r="U541" s="25" t="s">
        <v>175</v>
      </c>
    </row>
    <row r="542" spans="1:21" x14ac:dyDescent="0.2">
      <c r="A542" s="28"/>
      <c r="B542" s="25" t="s">
        <v>1703</v>
      </c>
      <c r="C542" s="25">
        <v>13987467</v>
      </c>
      <c r="D542" s="25" t="s">
        <v>603</v>
      </c>
      <c r="E542" s="25" t="s">
        <v>185</v>
      </c>
      <c r="F542" s="25" t="s">
        <v>1702</v>
      </c>
      <c r="G542" s="25" t="s">
        <v>183</v>
      </c>
      <c r="H542" s="25" t="s">
        <v>246</v>
      </c>
      <c r="I542" s="27">
        <v>43640</v>
      </c>
      <c r="K542" s="27">
        <v>43710</v>
      </c>
      <c r="L542" s="26">
        <v>-136303</v>
      </c>
      <c r="M542" s="25" t="s">
        <v>602</v>
      </c>
      <c r="N542" s="25" t="s">
        <v>1701</v>
      </c>
      <c r="O542" s="25" t="s">
        <v>180</v>
      </c>
      <c r="P542" s="26">
        <v>212</v>
      </c>
      <c r="Q542" s="25" t="s">
        <v>189</v>
      </c>
      <c r="R542" s="25" t="s">
        <v>244</v>
      </c>
      <c r="S542" s="25" t="s">
        <v>177</v>
      </c>
      <c r="T542" s="25" t="s">
        <v>176</v>
      </c>
      <c r="U542" s="25" t="s">
        <v>175</v>
      </c>
    </row>
    <row r="543" spans="1:21" x14ac:dyDescent="0.2">
      <c r="A543" s="28"/>
      <c r="B543" s="25" t="s">
        <v>268</v>
      </c>
      <c r="C543" s="25">
        <v>14051741</v>
      </c>
      <c r="D543" s="25" t="s">
        <v>267</v>
      </c>
      <c r="E543" s="25" t="s">
        <v>185</v>
      </c>
      <c r="F543" s="25" t="s">
        <v>266</v>
      </c>
      <c r="G543" s="25" t="s">
        <v>183</v>
      </c>
      <c r="H543" s="25" t="s">
        <v>265</v>
      </c>
      <c r="I543" s="27">
        <v>43700</v>
      </c>
      <c r="K543" s="27">
        <v>43831</v>
      </c>
      <c r="L543" s="26">
        <v>-258485</v>
      </c>
      <c r="M543" s="25" t="s">
        <v>554</v>
      </c>
      <c r="N543" s="25" t="s">
        <v>1700</v>
      </c>
      <c r="O543" s="25" t="s">
        <v>180</v>
      </c>
      <c r="P543" s="26">
        <v>147</v>
      </c>
      <c r="Q543" s="25" t="s">
        <v>263</v>
      </c>
      <c r="R543" s="25" t="s">
        <v>262</v>
      </c>
      <c r="S543" s="25" t="s">
        <v>177</v>
      </c>
      <c r="T543" s="25" t="s">
        <v>176</v>
      </c>
      <c r="U543" s="25" t="s">
        <v>175</v>
      </c>
    </row>
    <row r="544" spans="1:21" x14ac:dyDescent="0.2">
      <c r="A544" s="28"/>
      <c r="B544" s="25" t="s">
        <v>555</v>
      </c>
      <c r="C544" s="25">
        <v>14051741</v>
      </c>
      <c r="D544" s="25" t="s">
        <v>420</v>
      </c>
      <c r="E544" s="25" t="s">
        <v>185</v>
      </c>
      <c r="F544" s="25" t="s">
        <v>554</v>
      </c>
      <c r="G544" s="25" t="s">
        <v>553</v>
      </c>
      <c r="H544" s="25" t="s">
        <v>265</v>
      </c>
      <c r="I544" s="27">
        <v>43700</v>
      </c>
      <c r="K544" s="27">
        <v>43981</v>
      </c>
      <c r="L544" s="26">
        <v>258485</v>
      </c>
      <c r="M544" s="25" t="s">
        <v>554</v>
      </c>
      <c r="N544" s="25" t="s">
        <v>731</v>
      </c>
      <c r="O544" s="25" t="s">
        <v>271</v>
      </c>
      <c r="P544" s="26">
        <v>281</v>
      </c>
      <c r="Q544" s="25" t="s">
        <v>179</v>
      </c>
      <c r="R544" s="25" t="s">
        <v>262</v>
      </c>
      <c r="S544" s="25" t="s">
        <v>177</v>
      </c>
      <c r="T544" s="25" t="s">
        <v>176</v>
      </c>
      <c r="U544" s="25" t="s">
        <v>175</v>
      </c>
    </row>
    <row r="545" spans="1:21" x14ac:dyDescent="0.2">
      <c r="A545" s="28"/>
      <c r="B545" s="25" t="s">
        <v>1007</v>
      </c>
      <c r="C545" s="25">
        <v>13678503</v>
      </c>
      <c r="D545" s="25" t="s">
        <v>1006</v>
      </c>
      <c r="E545" s="25" t="s">
        <v>185</v>
      </c>
      <c r="F545" s="25" t="s">
        <v>1699</v>
      </c>
      <c r="G545" s="25" t="s">
        <v>183</v>
      </c>
      <c r="H545" s="25" t="s">
        <v>530</v>
      </c>
      <c r="I545" s="27">
        <v>43336</v>
      </c>
      <c r="K545" s="27">
        <v>43378</v>
      </c>
      <c r="L545" s="26">
        <v>-194514</v>
      </c>
      <c r="M545" s="25" t="s">
        <v>1288</v>
      </c>
      <c r="N545" s="25" t="s">
        <v>1698</v>
      </c>
      <c r="O545" s="25" t="s">
        <v>180</v>
      </c>
      <c r="P545" s="26">
        <v>138</v>
      </c>
      <c r="Q545" s="25" t="s">
        <v>189</v>
      </c>
      <c r="R545" s="25" t="s">
        <v>821</v>
      </c>
      <c r="S545" s="25" t="s">
        <v>177</v>
      </c>
      <c r="T545" s="25" t="s">
        <v>176</v>
      </c>
      <c r="U545" s="25" t="s">
        <v>175</v>
      </c>
    </row>
    <row r="546" spans="1:21" x14ac:dyDescent="0.2">
      <c r="A546" s="28"/>
      <c r="B546" s="25" t="s">
        <v>1007</v>
      </c>
      <c r="C546" s="25">
        <v>13678503</v>
      </c>
      <c r="D546" s="25" t="s">
        <v>1285</v>
      </c>
      <c r="E546" s="25" t="s">
        <v>185</v>
      </c>
      <c r="F546" s="25" t="s">
        <v>1288</v>
      </c>
      <c r="G546" s="25" t="s">
        <v>183</v>
      </c>
      <c r="H546" s="25" t="s">
        <v>530</v>
      </c>
      <c r="I546" s="27">
        <v>43546</v>
      </c>
      <c r="K546" s="27">
        <v>43546</v>
      </c>
      <c r="L546" s="26">
        <v>194514</v>
      </c>
      <c r="M546" s="25" t="s">
        <v>1288</v>
      </c>
      <c r="N546" s="25" t="s">
        <v>1023</v>
      </c>
      <c r="O546" s="25" t="s">
        <v>271</v>
      </c>
      <c r="P546" s="26">
        <v>0</v>
      </c>
      <c r="Q546" s="25" t="s">
        <v>535</v>
      </c>
      <c r="R546" s="25" t="s">
        <v>1003</v>
      </c>
      <c r="S546" s="25" t="s">
        <v>177</v>
      </c>
      <c r="T546" s="25" t="s">
        <v>176</v>
      </c>
      <c r="U546" s="25" t="s">
        <v>175</v>
      </c>
    </row>
    <row r="547" spans="1:21" x14ac:dyDescent="0.2">
      <c r="A547" s="28"/>
      <c r="B547" s="25" t="s">
        <v>993</v>
      </c>
      <c r="C547" s="25">
        <v>13864666</v>
      </c>
      <c r="D547" s="25" t="s">
        <v>1050</v>
      </c>
      <c r="E547" s="25" t="s">
        <v>351</v>
      </c>
      <c r="F547" s="25" t="s">
        <v>991</v>
      </c>
      <c r="G547" s="25" t="s">
        <v>183</v>
      </c>
      <c r="H547" s="25" t="s">
        <v>656</v>
      </c>
      <c r="I547" s="27">
        <v>43542</v>
      </c>
      <c r="K547" s="27">
        <v>43613</v>
      </c>
      <c r="L547" s="26">
        <v>212015</v>
      </c>
      <c r="M547" s="25" t="s">
        <v>991</v>
      </c>
      <c r="N547" s="25" t="s">
        <v>1697</v>
      </c>
      <c r="O547" s="25" t="s">
        <v>271</v>
      </c>
      <c r="P547" s="26">
        <v>71</v>
      </c>
      <c r="Q547" s="25" t="s">
        <v>961</v>
      </c>
      <c r="R547" s="25" t="s">
        <v>244</v>
      </c>
      <c r="S547" s="25" t="s">
        <v>177</v>
      </c>
      <c r="T547" s="25" t="s">
        <v>176</v>
      </c>
      <c r="U547" s="25" t="s">
        <v>175</v>
      </c>
    </row>
    <row r="548" spans="1:21" x14ac:dyDescent="0.2">
      <c r="A548" s="28"/>
      <c r="B548" s="25" t="s">
        <v>993</v>
      </c>
      <c r="C548" s="25">
        <v>13864666</v>
      </c>
      <c r="D548" s="25" t="s">
        <v>992</v>
      </c>
      <c r="E548" s="25" t="s">
        <v>351</v>
      </c>
      <c r="F548" s="25" t="s">
        <v>1696</v>
      </c>
      <c r="G548" s="25" t="s">
        <v>183</v>
      </c>
      <c r="H548" s="25" t="s">
        <v>656</v>
      </c>
      <c r="I548" s="27">
        <v>43542</v>
      </c>
      <c r="K548" s="27">
        <v>43564</v>
      </c>
      <c r="L548" s="26">
        <v>-212015</v>
      </c>
      <c r="M548" s="25" t="s">
        <v>991</v>
      </c>
      <c r="N548" s="25" t="s">
        <v>1695</v>
      </c>
      <c r="O548" s="25" t="s">
        <v>180</v>
      </c>
      <c r="P548" s="26">
        <v>19</v>
      </c>
      <c r="Q548" s="25" t="s">
        <v>189</v>
      </c>
      <c r="R548" s="25" t="s">
        <v>244</v>
      </c>
      <c r="S548" s="25" t="s">
        <v>177</v>
      </c>
      <c r="T548" s="25" t="s">
        <v>176</v>
      </c>
      <c r="U548" s="25" t="s">
        <v>175</v>
      </c>
    </row>
    <row r="549" spans="1:21" x14ac:dyDescent="0.2">
      <c r="A549" s="28"/>
      <c r="B549" s="25" t="s">
        <v>540</v>
      </c>
      <c r="C549" s="25">
        <v>14059388</v>
      </c>
      <c r="D549" s="25" t="s">
        <v>539</v>
      </c>
      <c r="E549" s="25" t="s">
        <v>185</v>
      </c>
      <c r="F549" s="25" t="s">
        <v>1694</v>
      </c>
      <c r="G549" s="25" t="s">
        <v>183</v>
      </c>
      <c r="H549" s="25" t="s">
        <v>537</v>
      </c>
      <c r="I549" s="27">
        <v>43706</v>
      </c>
      <c r="K549" s="27">
        <v>43774</v>
      </c>
      <c r="L549" s="26">
        <v>-184213</v>
      </c>
      <c r="M549" s="25" t="s">
        <v>538</v>
      </c>
      <c r="N549" s="25" t="s">
        <v>1693</v>
      </c>
      <c r="O549" s="25" t="s">
        <v>180</v>
      </c>
      <c r="P549" s="26">
        <v>13</v>
      </c>
      <c r="Q549" s="25" t="s">
        <v>535</v>
      </c>
      <c r="R549" s="25" t="s">
        <v>528</v>
      </c>
      <c r="S549" s="25" t="s">
        <v>177</v>
      </c>
      <c r="T549" s="25" t="s">
        <v>176</v>
      </c>
      <c r="U549" s="25" t="s">
        <v>175</v>
      </c>
    </row>
    <row r="550" spans="1:21" x14ac:dyDescent="0.2">
      <c r="A550" s="28"/>
      <c r="B550" s="25" t="s">
        <v>540</v>
      </c>
      <c r="C550" s="25">
        <v>14059388</v>
      </c>
      <c r="D550" s="25" t="s">
        <v>827</v>
      </c>
      <c r="E550" s="25" t="s">
        <v>185</v>
      </c>
      <c r="F550" s="25" t="s">
        <v>538</v>
      </c>
      <c r="G550" s="25" t="s">
        <v>183</v>
      </c>
      <c r="H550" s="25" t="s">
        <v>537</v>
      </c>
      <c r="I550" s="27">
        <v>43817</v>
      </c>
      <c r="K550" s="27">
        <v>43817</v>
      </c>
      <c r="L550" s="26">
        <v>184213</v>
      </c>
      <c r="M550" s="25" t="s">
        <v>538</v>
      </c>
      <c r="N550" s="25" t="s">
        <v>829</v>
      </c>
      <c r="O550" s="25" t="s">
        <v>271</v>
      </c>
      <c r="P550" s="26">
        <v>0</v>
      </c>
      <c r="Q550" s="25" t="s">
        <v>535</v>
      </c>
      <c r="R550" s="25" t="s">
        <v>534</v>
      </c>
      <c r="S550" s="25" t="s">
        <v>177</v>
      </c>
      <c r="T550" s="25" t="s">
        <v>176</v>
      </c>
      <c r="U550" s="25" t="s">
        <v>175</v>
      </c>
    </row>
    <row r="551" spans="1:21" x14ac:dyDescent="0.2">
      <c r="A551" s="28"/>
      <c r="B551" s="25" t="s">
        <v>708</v>
      </c>
      <c r="C551" s="25">
        <v>13935786</v>
      </c>
      <c r="D551" s="25" t="s">
        <v>813</v>
      </c>
      <c r="E551" s="25" t="s">
        <v>185</v>
      </c>
      <c r="F551" s="25" t="s">
        <v>712</v>
      </c>
      <c r="G551" s="25" t="s">
        <v>183</v>
      </c>
      <c r="H551" s="25" t="s">
        <v>711</v>
      </c>
      <c r="I551" s="27">
        <v>43596</v>
      </c>
      <c r="K551" s="27">
        <v>43822</v>
      </c>
      <c r="L551" s="26">
        <v>270704</v>
      </c>
      <c r="M551" s="25" t="s">
        <v>712</v>
      </c>
      <c r="N551" s="25" t="s">
        <v>710</v>
      </c>
      <c r="O551" s="25" t="s">
        <v>271</v>
      </c>
      <c r="P551" s="26">
        <v>226</v>
      </c>
      <c r="Q551" s="25" t="s">
        <v>709</v>
      </c>
      <c r="R551" s="25" t="s">
        <v>708</v>
      </c>
      <c r="S551" s="25" t="s">
        <v>177</v>
      </c>
      <c r="T551" s="25" t="s">
        <v>176</v>
      </c>
      <c r="U551" s="25" t="s">
        <v>175</v>
      </c>
    </row>
    <row r="552" spans="1:21" x14ac:dyDescent="0.2">
      <c r="A552" s="28"/>
      <c r="B552" s="25" t="s">
        <v>708</v>
      </c>
      <c r="C552" s="25">
        <v>13935786</v>
      </c>
      <c r="D552" s="25" t="s">
        <v>713</v>
      </c>
      <c r="E552" s="25" t="s">
        <v>185</v>
      </c>
      <c r="F552" s="25" t="s">
        <v>1692</v>
      </c>
      <c r="G552" s="25" t="s">
        <v>183</v>
      </c>
      <c r="H552" s="25" t="s">
        <v>711</v>
      </c>
      <c r="I552" s="27">
        <v>43596</v>
      </c>
      <c r="K552" s="27">
        <v>43709</v>
      </c>
      <c r="L552" s="26">
        <v>-270704</v>
      </c>
      <c r="M552" s="25" t="s">
        <v>712</v>
      </c>
      <c r="N552" s="25" t="s">
        <v>922</v>
      </c>
      <c r="O552" s="25" t="s">
        <v>180</v>
      </c>
      <c r="P552" s="26">
        <v>110</v>
      </c>
      <c r="Q552" s="25" t="s">
        <v>189</v>
      </c>
      <c r="R552" s="25" t="s">
        <v>720</v>
      </c>
      <c r="S552" s="25" t="s">
        <v>177</v>
      </c>
      <c r="T552" s="25" t="s">
        <v>176</v>
      </c>
      <c r="U552" s="25" t="s">
        <v>175</v>
      </c>
    </row>
  </sheetData>
  <autoFilter ref="A1:V506" xr:uid="{653CA58F-B56A-4801-8C4C-25C30198ED3B}"/>
  <pageMargins left="0.75" right="0.75" top="1" bottom="1" header="0.5" footer="0.5"/>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89422D-B2E0-41CA-918A-3FF495857718}">
  <dimension ref="A1:J40"/>
  <sheetViews>
    <sheetView topLeftCell="A3" workbookViewId="0">
      <selection activeCell="E15" sqref="E15"/>
    </sheetView>
  </sheetViews>
  <sheetFormatPr baseColWidth="10" defaultRowHeight="15" x14ac:dyDescent="0.25"/>
  <sheetData>
    <row r="1" spans="1:10" x14ac:dyDescent="0.25">
      <c r="A1" t="s">
        <v>1864</v>
      </c>
      <c r="B1" t="s">
        <v>1864</v>
      </c>
      <c r="C1" t="s">
        <v>1863</v>
      </c>
      <c r="D1" t="s">
        <v>1862</v>
      </c>
      <c r="E1" t="s">
        <v>1861</v>
      </c>
      <c r="F1" t="s">
        <v>1860</v>
      </c>
      <c r="G1" t="s">
        <v>1859</v>
      </c>
      <c r="H1" t="s">
        <v>1858</v>
      </c>
      <c r="I1" t="s">
        <v>1857</v>
      </c>
      <c r="J1" t="s">
        <v>1856</v>
      </c>
    </row>
    <row r="2" spans="1:10" x14ac:dyDescent="0.25">
      <c r="A2" t="s">
        <v>1788</v>
      </c>
      <c r="B2">
        <v>12718621</v>
      </c>
      <c r="C2" t="s">
        <v>1787</v>
      </c>
      <c r="D2" s="37">
        <v>43307</v>
      </c>
      <c r="E2" s="37">
        <v>43274</v>
      </c>
      <c r="F2" t="s">
        <v>1749</v>
      </c>
      <c r="G2" t="s">
        <v>1786</v>
      </c>
      <c r="H2">
        <v>16</v>
      </c>
      <c r="I2" t="s">
        <v>1828</v>
      </c>
      <c r="J2" t="s">
        <v>1785</v>
      </c>
    </row>
    <row r="3" spans="1:10" x14ac:dyDescent="0.25">
      <c r="A3" t="s">
        <v>1855</v>
      </c>
      <c r="B3">
        <v>14045219</v>
      </c>
      <c r="C3" t="s">
        <v>1854</v>
      </c>
      <c r="D3" s="37">
        <v>43840</v>
      </c>
      <c r="E3" s="37">
        <v>43817</v>
      </c>
      <c r="F3" t="s">
        <v>1749</v>
      </c>
      <c r="G3" t="s">
        <v>1853</v>
      </c>
      <c r="H3">
        <v>16</v>
      </c>
      <c r="I3" t="s">
        <v>1828</v>
      </c>
      <c r="J3" t="s">
        <v>1852</v>
      </c>
    </row>
    <row r="4" spans="1:10" x14ac:dyDescent="0.25">
      <c r="A4" t="s">
        <v>1851</v>
      </c>
      <c r="B4">
        <v>13185619</v>
      </c>
      <c r="C4" t="s">
        <v>1850</v>
      </c>
      <c r="D4" s="37">
        <v>43280</v>
      </c>
      <c r="E4" s="37">
        <v>43252</v>
      </c>
      <c r="F4" t="s">
        <v>1749</v>
      </c>
      <c r="G4" t="s">
        <v>1843</v>
      </c>
      <c r="H4">
        <v>16</v>
      </c>
      <c r="I4" t="s">
        <v>1828</v>
      </c>
      <c r="J4" t="s">
        <v>1849</v>
      </c>
    </row>
    <row r="5" spans="1:10" x14ac:dyDescent="0.25">
      <c r="A5" t="s">
        <v>1835</v>
      </c>
      <c r="B5">
        <v>12890636</v>
      </c>
      <c r="C5" t="s">
        <v>1848</v>
      </c>
      <c r="D5" s="37">
        <v>43280</v>
      </c>
      <c r="E5" s="37">
        <v>43252</v>
      </c>
      <c r="F5" t="s">
        <v>1749</v>
      </c>
      <c r="G5" t="s">
        <v>1843</v>
      </c>
      <c r="H5">
        <v>16</v>
      </c>
      <c r="I5" t="s">
        <v>1828</v>
      </c>
      <c r="J5" t="s">
        <v>1847</v>
      </c>
    </row>
    <row r="6" spans="1:10" x14ac:dyDescent="0.25">
      <c r="A6" t="s">
        <v>1832</v>
      </c>
      <c r="B6">
        <v>12910745</v>
      </c>
      <c r="C6" t="s">
        <v>1846</v>
      </c>
      <c r="D6" s="37">
        <v>43280</v>
      </c>
      <c r="E6" s="37">
        <v>43252</v>
      </c>
      <c r="F6" t="s">
        <v>1749</v>
      </c>
      <c r="G6" t="s">
        <v>1843</v>
      </c>
      <c r="H6">
        <v>16</v>
      </c>
      <c r="I6" t="s">
        <v>1828</v>
      </c>
      <c r="J6" t="s">
        <v>1845</v>
      </c>
    </row>
    <row r="7" spans="1:10" x14ac:dyDescent="0.25">
      <c r="A7" t="s">
        <v>1841</v>
      </c>
      <c r="B7">
        <v>13198718</v>
      </c>
      <c r="C7" t="s">
        <v>1844</v>
      </c>
      <c r="D7" s="37">
        <v>43280</v>
      </c>
      <c r="E7" s="37">
        <v>43252</v>
      </c>
      <c r="F7" t="s">
        <v>1749</v>
      </c>
      <c r="G7" t="s">
        <v>1843</v>
      </c>
      <c r="H7">
        <v>16</v>
      </c>
      <c r="I7" t="s">
        <v>1828</v>
      </c>
      <c r="J7" t="s">
        <v>1842</v>
      </c>
    </row>
    <row r="8" spans="1:10" x14ac:dyDescent="0.25">
      <c r="A8" t="s">
        <v>1841</v>
      </c>
      <c r="B8">
        <v>13198718</v>
      </c>
      <c r="C8" t="s">
        <v>1840</v>
      </c>
      <c r="D8" s="37">
        <v>43231</v>
      </c>
      <c r="E8" s="37">
        <v>43231</v>
      </c>
      <c r="F8" t="s">
        <v>1749</v>
      </c>
      <c r="G8" t="s">
        <v>1748</v>
      </c>
      <c r="H8">
        <v>16</v>
      </c>
      <c r="I8" t="s">
        <v>1828</v>
      </c>
      <c r="J8" t="s">
        <v>1839</v>
      </c>
    </row>
    <row r="9" spans="1:10" x14ac:dyDescent="0.25">
      <c r="A9" t="s">
        <v>1838</v>
      </c>
      <c r="B9">
        <v>13185619</v>
      </c>
      <c r="C9" t="s">
        <v>1837</v>
      </c>
      <c r="D9" s="37">
        <v>43231</v>
      </c>
      <c r="E9" s="37">
        <v>43231</v>
      </c>
      <c r="F9" t="s">
        <v>1749</v>
      </c>
      <c r="G9" t="s">
        <v>1748</v>
      </c>
      <c r="H9">
        <v>16</v>
      </c>
      <c r="I9" t="s">
        <v>1828</v>
      </c>
      <c r="J9" t="s">
        <v>1836</v>
      </c>
    </row>
    <row r="10" spans="1:10" x14ac:dyDescent="0.25">
      <c r="A10" t="s">
        <v>1835</v>
      </c>
      <c r="B10">
        <v>12890636</v>
      </c>
      <c r="C10" t="s">
        <v>1834</v>
      </c>
      <c r="D10" s="37">
        <v>43231</v>
      </c>
      <c r="E10" s="37">
        <v>43231</v>
      </c>
      <c r="F10" t="s">
        <v>1749</v>
      </c>
      <c r="G10" t="s">
        <v>1748</v>
      </c>
      <c r="H10">
        <v>16</v>
      </c>
      <c r="I10" t="s">
        <v>1828</v>
      </c>
      <c r="J10" t="s">
        <v>1833</v>
      </c>
    </row>
    <row r="11" spans="1:10" x14ac:dyDescent="0.25">
      <c r="A11" t="s">
        <v>1832</v>
      </c>
      <c r="B11">
        <v>12910745</v>
      </c>
      <c r="C11" t="s">
        <v>1831</v>
      </c>
      <c r="D11" s="37">
        <v>43231</v>
      </c>
      <c r="E11" s="37">
        <v>43231</v>
      </c>
      <c r="F11" t="s">
        <v>1749</v>
      </c>
      <c r="G11" t="s">
        <v>1748</v>
      </c>
      <c r="H11">
        <v>16</v>
      </c>
      <c r="I11" t="s">
        <v>1828</v>
      </c>
      <c r="J11" t="s">
        <v>1830</v>
      </c>
    </row>
    <row r="12" spans="1:10" x14ac:dyDescent="0.25">
      <c r="A12" t="s">
        <v>1788</v>
      </c>
      <c r="B12">
        <v>12718621</v>
      </c>
      <c r="C12" t="s">
        <v>1829</v>
      </c>
      <c r="D12" s="37">
        <v>43231</v>
      </c>
      <c r="E12" s="37">
        <v>43231</v>
      </c>
      <c r="F12" t="s">
        <v>1749</v>
      </c>
      <c r="G12" t="s">
        <v>1748</v>
      </c>
      <c r="H12">
        <v>16</v>
      </c>
      <c r="I12" t="s">
        <v>1828</v>
      </c>
      <c r="J12" t="s">
        <v>1827</v>
      </c>
    </row>
    <row r="13" spans="1:10" x14ac:dyDescent="0.25">
      <c r="A13" t="s">
        <v>1826</v>
      </c>
      <c r="B13">
        <v>14154915</v>
      </c>
      <c r="C13" t="s">
        <v>1825</v>
      </c>
      <c r="D13" s="37">
        <v>43874</v>
      </c>
      <c r="E13" s="37">
        <v>43874</v>
      </c>
      <c r="F13" t="s">
        <v>1749</v>
      </c>
      <c r="G13" t="s">
        <v>1824</v>
      </c>
      <c r="H13">
        <v>21</v>
      </c>
      <c r="I13" t="s">
        <v>1799</v>
      </c>
      <c r="J13" t="s">
        <v>1823</v>
      </c>
    </row>
    <row r="14" spans="1:10" x14ac:dyDescent="0.25">
      <c r="A14" t="s">
        <v>1822</v>
      </c>
      <c r="B14">
        <v>14196884</v>
      </c>
      <c r="C14" t="s">
        <v>1821</v>
      </c>
      <c r="D14" s="37">
        <v>43880</v>
      </c>
      <c r="E14" s="37">
        <v>43880</v>
      </c>
      <c r="F14" t="s">
        <v>1749</v>
      </c>
      <c r="G14" t="s">
        <v>1790</v>
      </c>
      <c r="H14">
        <v>21</v>
      </c>
      <c r="I14" t="s">
        <v>1799</v>
      </c>
      <c r="J14" t="s">
        <v>1820</v>
      </c>
    </row>
    <row r="15" spans="1:10" x14ac:dyDescent="0.25">
      <c r="A15" t="s">
        <v>1819</v>
      </c>
      <c r="B15">
        <v>13827137</v>
      </c>
      <c r="C15" t="s">
        <v>1818</v>
      </c>
      <c r="D15" s="37">
        <v>43529</v>
      </c>
      <c r="E15" s="37">
        <v>43529</v>
      </c>
      <c r="F15" t="s">
        <v>1749</v>
      </c>
      <c r="G15" t="s">
        <v>1817</v>
      </c>
      <c r="H15">
        <v>21</v>
      </c>
      <c r="I15" t="s">
        <v>1799</v>
      </c>
      <c r="J15" t="s">
        <v>1816</v>
      </c>
    </row>
    <row r="16" spans="1:10" x14ac:dyDescent="0.25">
      <c r="A16" t="s">
        <v>1788</v>
      </c>
      <c r="B16">
        <v>12718621</v>
      </c>
      <c r="C16" t="s">
        <v>1787</v>
      </c>
      <c r="D16" s="37">
        <v>43307</v>
      </c>
      <c r="E16" s="37">
        <v>43274</v>
      </c>
      <c r="F16" t="s">
        <v>1749</v>
      </c>
      <c r="G16" t="s">
        <v>1786</v>
      </c>
      <c r="H16">
        <v>21</v>
      </c>
      <c r="I16" t="s">
        <v>1799</v>
      </c>
      <c r="J16" t="s">
        <v>1785</v>
      </c>
    </row>
    <row r="17" spans="1:10" x14ac:dyDescent="0.25">
      <c r="A17" t="s">
        <v>1815</v>
      </c>
      <c r="B17">
        <v>14060511</v>
      </c>
      <c r="C17" t="s">
        <v>1814</v>
      </c>
      <c r="D17" s="37">
        <v>43725</v>
      </c>
      <c r="E17" s="37">
        <v>43725</v>
      </c>
      <c r="F17" t="s">
        <v>1749</v>
      </c>
      <c r="G17" t="s">
        <v>1777</v>
      </c>
      <c r="H17">
        <v>21</v>
      </c>
      <c r="I17" t="s">
        <v>1799</v>
      </c>
      <c r="J17" t="s">
        <v>1813</v>
      </c>
    </row>
    <row r="18" spans="1:10" x14ac:dyDescent="0.25">
      <c r="A18" t="s">
        <v>1812</v>
      </c>
      <c r="B18">
        <v>12751753</v>
      </c>
      <c r="C18" t="s">
        <v>1811</v>
      </c>
      <c r="D18" s="37">
        <v>43231</v>
      </c>
      <c r="E18" s="37">
        <v>43231</v>
      </c>
      <c r="F18" t="s">
        <v>1749</v>
      </c>
      <c r="G18" t="s">
        <v>1748</v>
      </c>
      <c r="H18">
        <v>21</v>
      </c>
      <c r="I18" t="s">
        <v>1799</v>
      </c>
      <c r="J18" t="s">
        <v>1810</v>
      </c>
    </row>
    <row r="19" spans="1:10" x14ac:dyDescent="0.25">
      <c r="A19" t="s">
        <v>1809</v>
      </c>
      <c r="B19">
        <v>12860087</v>
      </c>
      <c r="C19" t="s">
        <v>1808</v>
      </c>
      <c r="D19" s="37">
        <v>43231</v>
      </c>
      <c r="E19" s="37">
        <v>43231</v>
      </c>
      <c r="F19" t="s">
        <v>1749</v>
      </c>
      <c r="G19" t="s">
        <v>1748</v>
      </c>
      <c r="H19">
        <v>21</v>
      </c>
      <c r="I19" t="s">
        <v>1799</v>
      </c>
      <c r="J19" t="s">
        <v>1807</v>
      </c>
    </row>
    <row r="20" spans="1:10" x14ac:dyDescent="0.25">
      <c r="A20" t="s">
        <v>1806</v>
      </c>
      <c r="B20">
        <v>12866181</v>
      </c>
      <c r="C20" t="s">
        <v>1805</v>
      </c>
      <c r="D20" s="37">
        <v>43231</v>
      </c>
      <c r="E20" s="37">
        <v>43231</v>
      </c>
      <c r="F20" t="s">
        <v>1749</v>
      </c>
      <c r="G20" t="s">
        <v>1748</v>
      </c>
      <c r="H20">
        <v>21</v>
      </c>
      <c r="I20" t="s">
        <v>1799</v>
      </c>
      <c r="J20" t="s">
        <v>1804</v>
      </c>
    </row>
    <row r="21" spans="1:10" x14ac:dyDescent="0.25">
      <c r="A21" t="s">
        <v>1803</v>
      </c>
      <c r="B21">
        <v>13075148</v>
      </c>
      <c r="C21" t="s">
        <v>1802</v>
      </c>
      <c r="D21" s="37">
        <v>43231</v>
      </c>
      <c r="E21" s="37">
        <v>43231</v>
      </c>
      <c r="F21" t="s">
        <v>1749</v>
      </c>
      <c r="G21" t="s">
        <v>1748</v>
      </c>
      <c r="H21">
        <v>21</v>
      </c>
      <c r="I21" t="s">
        <v>1799</v>
      </c>
      <c r="J21" t="s">
        <v>1798</v>
      </c>
    </row>
    <row r="22" spans="1:10" x14ac:dyDescent="0.25">
      <c r="A22" t="s">
        <v>1801</v>
      </c>
      <c r="B22">
        <v>12885777</v>
      </c>
      <c r="C22" t="s">
        <v>1800</v>
      </c>
      <c r="D22" s="37">
        <v>43231</v>
      </c>
      <c r="E22" s="37">
        <v>43231</v>
      </c>
      <c r="F22" t="s">
        <v>1749</v>
      </c>
      <c r="G22" t="s">
        <v>1748</v>
      </c>
      <c r="H22">
        <v>21</v>
      </c>
      <c r="I22" t="s">
        <v>1799</v>
      </c>
      <c r="J22" t="s">
        <v>1798</v>
      </c>
    </row>
    <row r="23" spans="1:10" x14ac:dyDescent="0.25">
      <c r="A23" t="s">
        <v>1207</v>
      </c>
      <c r="B23">
        <v>13775890</v>
      </c>
      <c r="C23" t="s">
        <v>1797</v>
      </c>
      <c r="D23" s="37">
        <v>43502</v>
      </c>
      <c r="E23" s="37">
        <v>43502</v>
      </c>
      <c r="F23" t="s">
        <v>1749</v>
      </c>
      <c r="G23" t="s">
        <v>1748</v>
      </c>
      <c r="H23">
        <v>34</v>
      </c>
      <c r="I23" t="s">
        <v>1796</v>
      </c>
      <c r="J23" t="s">
        <v>1795</v>
      </c>
    </row>
    <row r="24" spans="1:10" x14ac:dyDescent="0.25">
      <c r="A24" t="s">
        <v>1766</v>
      </c>
      <c r="B24">
        <v>14112238</v>
      </c>
      <c r="C24" t="s">
        <v>1794</v>
      </c>
      <c r="D24" s="37">
        <v>43788</v>
      </c>
      <c r="E24" s="37">
        <v>43788</v>
      </c>
      <c r="F24" t="s">
        <v>1749</v>
      </c>
      <c r="G24" t="s">
        <v>1790</v>
      </c>
      <c r="H24">
        <v>49</v>
      </c>
      <c r="I24" t="s">
        <v>1747</v>
      </c>
      <c r="J24" t="s">
        <v>1793</v>
      </c>
    </row>
    <row r="25" spans="1:10" x14ac:dyDescent="0.25">
      <c r="A25" t="s">
        <v>1792</v>
      </c>
      <c r="B25">
        <v>13383606</v>
      </c>
      <c r="C25" t="s">
        <v>1791</v>
      </c>
      <c r="D25" s="37">
        <v>43173</v>
      </c>
      <c r="E25" s="37">
        <v>43173</v>
      </c>
      <c r="F25" t="s">
        <v>1749</v>
      </c>
      <c r="G25" t="s">
        <v>1790</v>
      </c>
      <c r="H25">
        <v>49</v>
      </c>
      <c r="I25" t="s">
        <v>1747</v>
      </c>
      <c r="J25" t="s">
        <v>1789</v>
      </c>
    </row>
    <row r="26" spans="1:10" x14ac:dyDescent="0.25">
      <c r="A26" t="s">
        <v>1788</v>
      </c>
      <c r="B26">
        <v>12718621</v>
      </c>
      <c r="C26" t="s">
        <v>1787</v>
      </c>
      <c r="D26" s="37">
        <v>43307</v>
      </c>
      <c r="E26" s="37">
        <v>43274</v>
      </c>
      <c r="F26" t="s">
        <v>1749</v>
      </c>
      <c r="G26" t="s">
        <v>1786</v>
      </c>
      <c r="H26">
        <v>49</v>
      </c>
      <c r="I26" t="s">
        <v>1747</v>
      </c>
      <c r="J26" t="s">
        <v>1785</v>
      </c>
    </row>
    <row r="27" spans="1:10" x14ac:dyDescent="0.25">
      <c r="A27" t="s">
        <v>611</v>
      </c>
      <c r="B27">
        <v>14071197</v>
      </c>
      <c r="C27" t="s">
        <v>1784</v>
      </c>
      <c r="D27" s="37">
        <v>43783</v>
      </c>
      <c r="E27" s="37">
        <v>43774</v>
      </c>
      <c r="F27" t="s">
        <v>1749</v>
      </c>
      <c r="G27" t="s">
        <v>1783</v>
      </c>
      <c r="H27">
        <v>49</v>
      </c>
      <c r="I27" t="s">
        <v>1747</v>
      </c>
      <c r="J27" t="s">
        <v>1782</v>
      </c>
    </row>
    <row r="28" spans="1:10" x14ac:dyDescent="0.25">
      <c r="A28" t="s">
        <v>1519</v>
      </c>
      <c r="B28">
        <v>13478068</v>
      </c>
      <c r="C28" t="s">
        <v>1781</v>
      </c>
      <c r="D28" s="37">
        <v>43137</v>
      </c>
      <c r="E28" s="37">
        <v>43137</v>
      </c>
      <c r="F28" t="s">
        <v>1749</v>
      </c>
      <c r="G28" t="s">
        <v>1777</v>
      </c>
      <c r="H28">
        <v>49</v>
      </c>
      <c r="I28" t="s">
        <v>1747</v>
      </c>
      <c r="J28" t="s">
        <v>1779</v>
      </c>
    </row>
    <row r="29" spans="1:10" x14ac:dyDescent="0.25">
      <c r="A29" t="s">
        <v>1493</v>
      </c>
      <c r="B29">
        <v>13473786</v>
      </c>
      <c r="C29" t="s">
        <v>1780</v>
      </c>
      <c r="D29" s="37">
        <v>43137</v>
      </c>
      <c r="E29" s="37">
        <v>43137</v>
      </c>
      <c r="F29" t="s">
        <v>1749</v>
      </c>
      <c r="G29" t="s">
        <v>1777</v>
      </c>
      <c r="H29">
        <v>49</v>
      </c>
      <c r="I29" t="s">
        <v>1747</v>
      </c>
      <c r="J29" t="s">
        <v>1779</v>
      </c>
    </row>
    <row r="30" spans="1:10" x14ac:dyDescent="0.25">
      <c r="A30" t="s">
        <v>1493</v>
      </c>
      <c r="B30">
        <v>13473786</v>
      </c>
      <c r="C30" t="s">
        <v>1778</v>
      </c>
      <c r="D30" s="37">
        <v>43166</v>
      </c>
      <c r="E30" s="37">
        <v>43166</v>
      </c>
      <c r="F30" t="s">
        <v>1749</v>
      </c>
      <c r="G30" t="s">
        <v>1777</v>
      </c>
      <c r="H30">
        <v>49</v>
      </c>
      <c r="I30" t="s">
        <v>1747</v>
      </c>
      <c r="J30" t="s">
        <v>1776</v>
      </c>
    </row>
    <row r="31" spans="1:10" x14ac:dyDescent="0.25">
      <c r="A31" t="s">
        <v>1751</v>
      </c>
      <c r="B31">
        <v>13309108</v>
      </c>
      <c r="C31" t="s">
        <v>1775</v>
      </c>
      <c r="D31" s="37">
        <v>43403</v>
      </c>
      <c r="E31" s="37">
        <v>43375</v>
      </c>
      <c r="F31" t="s">
        <v>1749</v>
      </c>
      <c r="G31" t="s">
        <v>1774</v>
      </c>
      <c r="H31">
        <v>49</v>
      </c>
      <c r="I31" t="s">
        <v>1747</v>
      </c>
      <c r="J31" t="s">
        <v>1773</v>
      </c>
    </row>
    <row r="32" spans="1:10" x14ac:dyDescent="0.25">
      <c r="A32" t="s">
        <v>1772</v>
      </c>
      <c r="B32">
        <v>13992344</v>
      </c>
      <c r="C32" t="s">
        <v>1771</v>
      </c>
      <c r="D32" s="37">
        <v>43682</v>
      </c>
      <c r="E32" s="37">
        <v>43682</v>
      </c>
      <c r="F32" t="s">
        <v>1749</v>
      </c>
      <c r="G32" t="s">
        <v>1748</v>
      </c>
      <c r="H32">
        <v>49</v>
      </c>
      <c r="I32" t="s">
        <v>1747</v>
      </c>
      <c r="J32" t="s">
        <v>1770</v>
      </c>
    </row>
    <row r="33" spans="1:10" x14ac:dyDescent="0.25">
      <c r="A33" t="s">
        <v>1769</v>
      </c>
      <c r="B33">
        <v>14029711</v>
      </c>
      <c r="C33" t="s">
        <v>1768</v>
      </c>
      <c r="D33" s="37">
        <v>43682</v>
      </c>
      <c r="E33" s="37">
        <v>43682</v>
      </c>
      <c r="F33" t="s">
        <v>1749</v>
      </c>
      <c r="G33" t="s">
        <v>1748</v>
      </c>
      <c r="H33">
        <v>49</v>
      </c>
      <c r="I33" t="s">
        <v>1747</v>
      </c>
      <c r="J33" t="s">
        <v>1767</v>
      </c>
    </row>
    <row r="34" spans="1:10" x14ac:dyDescent="0.25">
      <c r="A34" t="s">
        <v>1766</v>
      </c>
      <c r="B34">
        <v>14112238</v>
      </c>
      <c r="C34" t="s">
        <v>1765</v>
      </c>
      <c r="D34" s="37">
        <v>43833</v>
      </c>
      <c r="E34" s="37">
        <v>43833</v>
      </c>
      <c r="F34" t="s">
        <v>1749</v>
      </c>
      <c r="G34" t="s">
        <v>1748</v>
      </c>
      <c r="H34">
        <v>49</v>
      </c>
      <c r="I34" t="s">
        <v>1747</v>
      </c>
      <c r="J34" t="s">
        <v>1764</v>
      </c>
    </row>
    <row r="35" spans="1:10" x14ac:dyDescent="0.25">
      <c r="A35" t="s">
        <v>1763</v>
      </c>
      <c r="B35">
        <v>12998657</v>
      </c>
      <c r="C35" t="s">
        <v>1762</v>
      </c>
      <c r="D35" s="37">
        <v>43231</v>
      </c>
      <c r="E35" s="37">
        <v>43231</v>
      </c>
      <c r="F35" t="s">
        <v>1749</v>
      </c>
      <c r="G35" t="s">
        <v>1748</v>
      </c>
      <c r="H35">
        <v>49</v>
      </c>
      <c r="I35" t="s">
        <v>1747</v>
      </c>
      <c r="J35" t="s">
        <v>1761</v>
      </c>
    </row>
    <row r="36" spans="1:10" x14ac:dyDescent="0.25">
      <c r="A36" t="s">
        <v>1760</v>
      </c>
      <c r="B36">
        <v>13349575</v>
      </c>
      <c r="C36" t="s">
        <v>1759</v>
      </c>
      <c r="D36" s="37">
        <v>43231</v>
      </c>
      <c r="E36" s="37">
        <v>43231</v>
      </c>
      <c r="F36" t="s">
        <v>1749</v>
      </c>
      <c r="G36" t="s">
        <v>1748</v>
      </c>
      <c r="H36">
        <v>49</v>
      </c>
      <c r="I36" t="s">
        <v>1747</v>
      </c>
      <c r="J36" t="s">
        <v>1758</v>
      </c>
    </row>
    <row r="37" spans="1:10" x14ac:dyDescent="0.25">
      <c r="A37" t="s">
        <v>1757</v>
      </c>
      <c r="B37">
        <v>13359576</v>
      </c>
      <c r="C37" t="s">
        <v>1756</v>
      </c>
      <c r="D37" s="37">
        <v>43270</v>
      </c>
      <c r="E37" s="37">
        <v>43270</v>
      </c>
      <c r="F37" t="s">
        <v>1749</v>
      </c>
      <c r="G37" t="s">
        <v>1748</v>
      </c>
      <c r="H37">
        <v>49</v>
      </c>
      <c r="I37" t="s">
        <v>1747</v>
      </c>
      <c r="J37" t="s">
        <v>1754</v>
      </c>
    </row>
    <row r="38" spans="1:10" x14ac:dyDescent="0.25">
      <c r="A38" t="s">
        <v>1751</v>
      </c>
      <c r="B38">
        <v>13309108</v>
      </c>
      <c r="C38" t="s">
        <v>1755</v>
      </c>
      <c r="D38" s="37">
        <v>43270</v>
      </c>
      <c r="E38" s="37">
        <v>43270</v>
      </c>
      <c r="F38" t="s">
        <v>1749</v>
      </c>
      <c r="G38" t="s">
        <v>1748</v>
      </c>
      <c r="H38">
        <v>49</v>
      </c>
      <c r="I38" t="s">
        <v>1747</v>
      </c>
      <c r="J38" t="s">
        <v>1754</v>
      </c>
    </row>
    <row r="39" spans="1:10" x14ac:dyDescent="0.25">
      <c r="A39" t="s">
        <v>748</v>
      </c>
      <c r="B39">
        <v>13686602</v>
      </c>
      <c r="C39" t="s">
        <v>1753</v>
      </c>
      <c r="D39" s="37">
        <v>43378</v>
      </c>
      <c r="E39" s="37">
        <v>43378</v>
      </c>
      <c r="F39" t="s">
        <v>1749</v>
      </c>
      <c r="G39" t="s">
        <v>1748</v>
      </c>
      <c r="H39">
        <v>49</v>
      </c>
      <c r="I39" t="s">
        <v>1747</v>
      </c>
      <c r="J39" t="s">
        <v>1752</v>
      </c>
    </row>
    <row r="40" spans="1:10" x14ac:dyDescent="0.25">
      <c r="A40" t="s">
        <v>1751</v>
      </c>
      <c r="B40">
        <v>13309108</v>
      </c>
      <c r="C40" t="s">
        <v>1750</v>
      </c>
      <c r="D40" s="37">
        <v>43606</v>
      </c>
      <c r="E40" s="37">
        <v>43606</v>
      </c>
      <c r="F40" t="s">
        <v>1749</v>
      </c>
      <c r="G40" t="s">
        <v>1748</v>
      </c>
      <c r="H40">
        <v>49</v>
      </c>
      <c r="I40" t="s">
        <v>1747</v>
      </c>
      <c r="J40" t="s">
        <v>1746</v>
      </c>
    </row>
  </sheetData>
  <autoFilter ref="C1:J3" xr:uid="{6D28C184-A998-4109-92F7-EBCCB2EB2E32}"/>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FE30CB7CEF60846859E824068793470" ma:contentTypeVersion="11" ma:contentTypeDescription="Create a new document." ma:contentTypeScope="" ma:versionID="88b51ac20f31a81ec93f74d46b1d536e">
  <xsd:schema xmlns:xsd="http://www.w3.org/2001/XMLSchema" xmlns:xs="http://www.w3.org/2001/XMLSchema" xmlns:p="http://schemas.microsoft.com/office/2006/metadata/properties" xmlns:ns3="ec2647b0-6c98-4af5-b71b-72a0ee5ce1c4" xmlns:ns4="978cbba9-da41-4d3a-a698-7f0783c66ab3" targetNamespace="http://schemas.microsoft.com/office/2006/metadata/properties" ma:root="true" ma:fieldsID="58ad3696abf6a3d28a997a852d7c7e30" ns3:_="" ns4:_="">
    <xsd:import namespace="ec2647b0-6c98-4af5-b71b-72a0ee5ce1c4"/>
    <xsd:import namespace="978cbba9-da41-4d3a-a698-7f0783c66ab3"/>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2647b0-6c98-4af5-b71b-72a0ee5ce1c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78cbba9-da41-4d3a-a698-7f0783c66ab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CA409DA-E21D-41E9-A1AD-58E5326AFC98}">
  <ds:schemaRefs>
    <ds:schemaRef ds:uri="http://schemas.microsoft.com/sharepoint/v3/contenttype/forms"/>
  </ds:schemaRefs>
</ds:datastoreItem>
</file>

<file path=customXml/itemProps2.xml><?xml version="1.0" encoding="utf-8"?>
<ds:datastoreItem xmlns:ds="http://schemas.openxmlformats.org/officeDocument/2006/customXml" ds:itemID="{31B11BDD-AA07-4978-9FCC-EA8EF6AB76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2647b0-6c98-4af5-b71b-72a0ee5ce1c4"/>
    <ds:schemaRef ds:uri="978cbba9-da41-4d3a-a698-7f0783c66a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A17DB24-797A-4C4B-98F2-268F7D3D6878}">
  <ds:schemaRefs>
    <ds:schemaRef ds:uri="http://purl.org/dc/elements/1.1/"/>
    <ds:schemaRef ds:uri="http://schemas.microsoft.com/office/infopath/2007/PartnerControls"/>
    <ds:schemaRef ds:uri="http://www.w3.org/XML/1998/namespace"/>
    <ds:schemaRef ds:uri="http://schemas.microsoft.com/office/2006/metadata/properties"/>
    <ds:schemaRef ds:uri="http://purl.org/dc/terms/"/>
    <ds:schemaRef ds:uri="ec2647b0-6c98-4af5-b71b-72a0ee5ce1c4"/>
    <ds:schemaRef ds:uri="http://purl.org/dc/dcmitype/"/>
    <ds:schemaRef ds:uri="http://schemas.microsoft.com/office/2006/documentManagement/types"/>
    <ds:schemaRef ds:uri="http://schemas.openxmlformats.org/package/2006/metadata/core-properties"/>
    <ds:schemaRef ds:uri="978cbba9-da41-4d3a-a698-7f0783c66ab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Hoja1</vt:lpstr>
      <vt:lpstr>CRUCE</vt:lpstr>
      <vt:lpstr>RESUMEN</vt:lpstr>
      <vt:lpstr>CXP</vt:lpstr>
      <vt:lpstr>GLOSAS</vt:lpstr>
      <vt:lpstr>CANCELADAS</vt:lpstr>
      <vt:lpstr>DEVOLUCIONES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cartera12</dc:creator>
  <cp:lastModifiedBy>Edwin Camilo Arias Salinas</cp:lastModifiedBy>
  <dcterms:created xsi:type="dcterms:W3CDTF">2020-04-08T15:37:05Z</dcterms:created>
  <dcterms:modified xsi:type="dcterms:W3CDTF">2020-06-02T13:49:22Z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0x010100EFE30CB7CEF60846859E824068793470</vt:lpwstr>
  </property>
</Properties>
</file>